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3\public\健康福祉部\介護保険課\4 介護給付係\施設一覧\"/>
    </mc:Choice>
  </mc:AlternateContent>
  <xr:revisionPtr revIDLastSave="0" documentId="13_ncr:1_{1DEE403F-2A21-4B9F-9A68-BA9B7F91E233}" xr6:coauthVersionLast="47" xr6:coauthVersionMax="47" xr10:uidLastSave="{00000000-0000-0000-0000-000000000000}"/>
  <bookViews>
    <workbookView xWindow="1668" yWindow="240" windowWidth="21216" windowHeight="12132" xr2:uid="{9CCDEE93-548F-4E96-A339-1762CA904A63}"/>
  </bookViews>
  <sheets>
    <sheet name="介護保険施設名簿" sheetId="2" r:id="rId1"/>
    <sheet name="データ貼付けシート" sheetId="3" state="hidden" r:id="rId2"/>
    <sheet name="DB" sheetId="1" state="hidden" r:id="rId3"/>
  </sheets>
  <definedNames>
    <definedName name="_xlnm._FilterDatabase" localSheetId="0" hidden="1">介護保険施設名簿!$B$3:$B$3</definedName>
    <definedName name="_xlnm.Print_Area" localSheetId="0">介護保険施設名簿!$A$6:$G$29</definedName>
    <definedName name="サービスの種類">DB!$P$2:$Q$10</definedName>
    <definedName name="介護医療院">DB!$C$29:$J$32</definedName>
    <definedName name="介護老人福祉施設">DB!$C$2:$J$13</definedName>
    <definedName name="介護老人保健施設">DB!$C$21:$J$28</definedName>
    <definedName name="小規模多機能型居宅介護">DB!$C$62:$I$72</definedName>
    <definedName name="地域密着型介護老人福祉施設">DB!$C$14:$J$20</definedName>
    <definedName name="地域密着型特定施設入居者生活介護">DB!$C$39:$J$41</definedName>
    <definedName name="特定施設入居者生活介護">DB!$C$33:$J$38</definedName>
    <definedName name="認知症対応型共同生活介護">DB!$C$42:$J$61</definedName>
    <definedName name="複合型サービス">DB!$C$73:$I$76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J37" i="1"/>
  <c r="I8" i="1" l="1"/>
  <c r="J8" i="1"/>
  <c r="L11" i="1"/>
  <c r="J12" i="1"/>
  <c r="J19" i="1"/>
  <c r="I20" i="1"/>
  <c r="J20" i="1"/>
  <c r="M24" i="1"/>
  <c r="J25" i="1"/>
  <c r="L26" i="1"/>
  <c r="J27" i="1"/>
  <c r="J32" i="1"/>
  <c r="I35" i="1"/>
  <c r="I44" i="1"/>
  <c r="J46" i="1"/>
  <c r="I47" i="1"/>
  <c r="J49" i="1"/>
  <c r="I52" i="1"/>
  <c r="J54" i="1"/>
  <c r="J57" i="1"/>
  <c r="I60" i="1"/>
  <c r="J61" i="1"/>
  <c r="I65" i="1"/>
  <c r="I67" i="1"/>
  <c r="I68" i="1"/>
  <c r="I70" i="1"/>
  <c r="I75" i="1"/>
  <c r="I69" i="1"/>
  <c r="I64" i="1"/>
  <c r="J59" i="1"/>
  <c r="I59" i="1"/>
  <c r="J60" i="1"/>
  <c r="I58" i="1"/>
  <c r="J56" i="1"/>
  <c r="I54" i="1"/>
  <c r="J51" i="1"/>
  <c r="I51" i="1"/>
  <c r="I49" i="1"/>
  <c r="I46" i="1"/>
  <c r="J41" i="1"/>
  <c r="I32" i="1"/>
  <c r="I27" i="1"/>
  <c r="N26" i="1"/>
  <c r="M26" i="1"/>
  <c r="I25" i="1"/>
  <c r="N24" i="1"/>
  <c r="L24" i="1"/>
  <c r="K24" i="1"/>
  <c r="J23" i="1"/>
  <c r="I23" i="1"/>
  <c r="J18" i="1"/>
  <c r="I18" i="1"/>
  <c r="J17" i="1"/>
  <c r="I17" i="1"/>
  <c r="J16" i="1"/>
  <c r="I16" i="1"/>
  <c r="J13" i="1"/>
  <c r="I12" i="1"/>
  <c r="M11" i="1"/>
  <c r="K11" i="1"/>
  <c r="J10" i="1"/>
  <c r="J9" i="1"/>
  <c r="I9" i="1"/>
  <c r="J7" i="1"/>
  <c r="I7" i="1"/>
  <c r="J6" i="1"/>
  <c r="J5" i="1"/>
  <c r="I5" i="1"/>
  <c r="I76" i="1"/>
  <c r="I57" i="1"/>
  <c r="I55" i="1"/>
  <c r="I50" i="1"/>
  <c r="J44" i="1"/>
  <c r="J31" i="1"/>
  <c r="I31" i="1"/>
  <c r="K26" i="1"/>
  <c r="I13" i="1"/>
  <c r="I6" i="1"/>
  <c r="J58" i="1"/>
  <c r="J50" i="1"/>
  <c r="I45" i="1"/>
  <c r="J38" i="1"/>
  <c r="I38" i="1"/>
  <c r="J28" i="1"/>
  <c r="I28" i="1"/>
  <c r="N11" i="1"/>
  <c r="I37" i="1"/>
  <c r="I66" i="1"/>
  <c r="I72" i="1"/>
  <c r="J55" i="1"/>
  <c r="J53" i="1"/>
  <c r="J52" i="1"/>
  <c r="I61" i="1"/>
  <c r="I56" i="1"/>
  <c r="I53" i="1"/>
  <c r="J45" i="1"/>
  <c r="J47" i="1"/>
  <c r="J48" i="1"/>
  <c r="I48" i="1"/>
  <c r="I41" i="1"/>
  <c r="J36" i="1"/>
  <c r="I36" i="1"/>
  <c r="J35" i="1"/>
  <c r="I19" i="1"/>
  <c r="I10" i="1"/>
  <c r="J4" i="1"/>
  <c r="I4" i="1"/>
  <c r="D6" i="2"/>
  <c r="K3" i="2"/>
  <c r="A6" i="2"/>
  <c r="I24" i="1" l="1"/>
  <c r="J24" i="1"/>
  <c r="I11" i="1"/>
  <c r="J26" i="1"/>
  <c r="I26" i="1"/>
  <c r="J11" i="1"/>
  <c r="F8" i="2"/>
  <c r="G8" i="2" l="1"/>
  <c r="B23" i="2"/>
  <c r="F33" i="2"/>
  <c r="E23" i="2"/>
  <c r="C26" i="2"/>
  <c r="F21" i="2"/>
  <c r="D33" i="2"/>
  <c r="A31" i="2"/>
  <c r="C31" i="2"/>
  <c r="F24" i="2"/>
  <c r="G35" i="2"/>
  <c r="B25" i="2"/>
  <c r="E16" i="2"/>
  <c r="B9" i="2"/>
  <c r="H34" i="2"/>
  <c r="D13" i="2"/>
  <c r="E34" i="2"/>
  <c r="G36" i="2"/>
  <c r="C35" i="2"/>
  <c r="F15" i="2"/>
  <c r="G17" i="2"/>
  <c r="G23" i="2"/>
  <c r="F25" i="2"/>
  <c r="F13" i="2"/>
  <c r="A10" i="2"/>
  <c r="H30" i="2"/>
  <c r="C23" i="2"/>
  <c r="B24" i="2"/>
  <c r="A32" i="2"/>
  <c r="D23" i="2"/>
  <c r="H29" i="2"/>
  <c r="C30" i="2"/>
  <c r="B18" i="2"/>
  <c r="G21" i="2"/>
  <c r="C14" i="2"/>
  <c r="F16" i="2"/>
  <c r="F27" i="2"/>
  <c r="G29" i="2"/>
  <c r="C22" i="2"/>
  <c r="D15" i="2"/>
  <c r="G32" i="2"/>
  <c r="G33" i="2"/>
  <c r="G11" i="2"/>
  <c r="B12" i="2"/>
  <c r="C34" i="2"/>
  <c r="B26" i="2"/>
  <c r="E11" i="2"/>
  <c r="D11" i="2"/>
  <c r="E15" i="2"/>
  <c r="F32" i="2"/>
  <c r="D32" i="2"/>
  <c r="F10" i="2"/>
  <c r="C10" i="2"/>
  <c r="D28" i="2"/>
  <c r="C24" i="2"/>
  <c r="A28" i="2"/>
  <c r="D25" i="2"/>
  <c r="B29" i="2"/>
  <c r="A11" i="2"/>
  <c r="F9" i="2"/>
  <c r="E12" i="2"/>
  <c r="A33" i="2"/>
  <c r="A12" i="2"/>
  <c r="E31" i="2"/>
  <c r="F22" i="2"/>
  <c r="E36" i="2"/>
  <c r="G30" i="2"/>
  <c r="E17" i="2"/>
  <c r="D14" i="2"/>
  <c r="A17" i="2"/>
  <c r="B34" i="2"/>
  <c r="F12" i="2"/>
  <c r="G19" i="2"/>
  <c r="F34" i="2"/>
  <c r="A24" i="2"/>
  <c r="G14" i="2"/>
  <c r="A30" i="2"/>
  <c r="A20" i="2"/>
  <c r="D24" i="2"/>
  <c r="G9" i="2"/>
  <c r="G27" i="2"/>
  <c r="E14" i="2"/>
  <c r="E32" i="2"/>
  <c r="C13" i="2"/>
  <c r="A13" i="2"/>
  <c r="C12" i="2"/>
  <c r="B35" i="2"/>
  <c r="B28" i="2"/>
  <c r="B10" i="2"/>
  <c r="F23" i="2"/>
  <c r="A36" i="2"/>
  <c r="B16" i="2"/>
  <c r="D16" i="2"/>
  <c r="E27" i="2"/>
  <c r="B13" i="2"/>
  <c r="A22" i="2"/>
  <c r="E9" i="2"/>
  <c r="G28" i="2"/>
  <c r="B15" i="2"/>
  <c r="B22" i="2"/>
  <c r="H33" i="2"/>
  <c r="F20" i="2"/>
  <c r="E25" i="2"/>
  <c r="A9" i="2"/>
  <c r="C29" i="2"/>
  <c r="E19" i="2"/>
  <c r="F35" i="2"/>
  <c r="G31" i="2"/>
  <c r="E28" i="2"/>
  <c r="E30" i="2"/>
  <c r="E18" i="2"/>
  <c r="D20" i="2"/>
  <c r="D22" i="2"/>
  <c r="C16" i="2"/>
  <c r="C19" i="2"/>
  <c r="A27" i="2"/>
  <c r="D30" i="2"/>
  <c r="G10" i="2"/>
  <c r="A15" i="2"/>
  <c r="G22" i="2"/>
  <c r="E35" i="2"/>
  <c r="C15" i="2"/>
  <c r="D19" i="2"/>
  <c r="D18" i="2"/>
  <c r="C21" i="2"/>
  <c r="C9" i="2"/>
  <c r="F30" i="2"/>
  <c r="D34" i="2"/>
  <c r="C36" i="2"/>
  <c r="B17" i="2"/>
  <c r="D17" i="2"/>
  <c r="B11" i="2"/>
  <c r="C17" i="2"/>
  <c r="F18" i="2"/>
  <c r="G18" i="2"/>
  <c r="D35" i="2"/>
  <c r="C33" i="2"/>
  <c r="G16" i="2"/>
  <c r="G24" i="2"/>
  <c r="A23" i="2"/>
  <c r="D31" i="2"/>
  <c r="C32" i="2"/>
  <c r="B27" i="2"/>
  <c r="G20" i="2"/>
  <c r="F36" i="2"/>
  <c r="E26" i="2"/>
  <c r="D9" i="2"/>
  <c r="F28" i="2"/>
  <c r="H35" i="2"/>
  <c r="B31" i="2"/>
  <c r="B36" i="2"/>
  <c r="E22" i="2"/>
  <c r="A26" i="2"/>
  <c r="A14" i="2"/>
  <c r="A16" i="2"/>
  <c r="F26" i="2"/>
  <c r="B21" i="2"/>
  <c r="C18" i="2"/>
  <c r="F17" i="2"/>
  <c r="B19" i="2"/>
  <c r="C11" i="2"/>
  <c r="D12" i="2"/>
  <c r="B20" i="2"/>
  <c r="B30" i="2"/>
  <c r="A25" i="2"/>
  <c r="B14" i="2"/>
  <c r="G25" i="2"/>
  <c r="E13" i="2"/>
  <c r="C27" i="2"/>
  <c r="A21" i="2"/>
  <c r="G34" i="2"/>
  <c r="F31" i="2"/>
  <c r="E33" i="2"/>
  <c r="A29" i="2"/>
  <c r="C25" i="2"/>
  <c r="D27" i="2"/>
  <c r="B7" i="2"/>
  <c r="E20" i="2"/>
  <c r="A18" i="2"/>
  <c r="D29" i="2"/>
  <c r="F19" i="2"/>
  <c r="E21" i="2"/>
  <c r="G13" i="2"/>
  <c r="H31" i="2"/>
  <c r="D21" i="2"/>
  <c r="B32" i="2"/>
  <c r="H28" i="2"/>
  <c r="F11" i="2"/>
  <c r="C28" i="2"/>
  <c r="G15" i="2"/>
  <c r="A34" i="2"/>
  <c r="G12" i="2"/>
  <c r="F14" i="2"/>
  <c r="H36" i="2"/>
  <c r="F29" i="2"/>
  <c r="A19" i="2"/>
  <c r="E10" i="2"/>
  <c r="C20" i="2"/>
  <c r="B33" i="2"/>
  <c r="A35" i="2"/>
  <c r="D36" i="2"/>
  <c r="E24" i="2"/>
  <c r="D10" i="2"/>
  <c r="E29" i="2"/>
  <c r="H32" i="2"/>
  <c r="D26" i="2"/>
  <c r="G26" i="2"/>
</calcChain>
</file>

<file path=xl/sharedStrings.xml><?xml version="1.0" encoding="utf-8"?>
<sst xmlns="http://schemas.openxmlformats.org/spreadsheetml/2006/main" count="510" uniqueCount="343">
  <si>
    <t>1</t>
  </si>
  <si>
    <t>あさひ園</t>
    <rPh sb="3" eb="4">
      <t>エン</t>
    </rPh>
    <phoneticPr fontId="1"/>
  </si>
  <si>
    <t>３５-５７５７</t>
  </si>
  <si>
    <t>(福)郷寿会</t>
    <rPh sb="1" eb="2">
      <t>フク</t>
    </rPh>
    <rPh sb="3" eb="4">
      <t>ゴウ</t>
    </rPh>
    <rPh sb="4" eb="5">
      <t>ジュ</t>
    </rPh>
    <rPh sb="5" eb="6">
      <t>カイ</t>
    </rPh>
    <phoneticPr fontId="1"/>
  </si>
  <si>
    <t>2</t>
  </si>
  <si>
    <t>行楽園</t>
    <rPh sb="0" eb="2">
      <t>コウラク</t>
    </rPh>
    <rPh sb="2" eb="3">
      <t>エン</t>
    </rPh>
    <phoneticPr fontId="1"/>
  </si>
  <si>
    <t>３８-２０１１</t>
  </si>
  <si>
    <t>(福)敬愛会</t>
    <rPh sb="1" eb="2">
      <t>フク</t>
    </rPh>
    <rPh sb="3" eb="5">
      <t>ケイアイ</t>
    </rPh>
    <rPh sb="5" eb="6">
      <t>カイ</t>
    </rPh>
    <phoneticPr fontId="1"/>
  </si>
  <si>
    <t>3</t>
  </si>
  <si>
    <t>すずらんの里</t>
    <rPh sb="5" eb="6">
      <t>サト</t>
    </rPh>
    <phoneticPr fontId="1"/>
  </si>
  <si>
    <t>３９-７５１１</t>
  </si>
  <si>
    <t>(福)天龍会</t>
    <rPh sb="1" eb="2">
      <t>フク</t>
    </rPh>
    <rPh sb="3" eb="5">
      <t>テンリュウ</t>
    </rPh>
    <rPh sb="5" eb="6">
      <t>カイ</t>
    </rPh>
    <phoneticPr fontId="1"/>
  </si>
  <si>
    <t>4</t>
  </si>
  <si>
    <t>ま心苑</t>
    <rPh sb="1" eb="2">
      <t>ココロ</t>
    </rPh>
    <rPh sb="2" eb="3">
      <t>エン</t>
    </rPh>
    <phoneticPr fontId="1"/>
  </si>
  <si>
    <t>３１-７６００</t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</si>
  <si>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1"/>
  </si>
  <si>
    <t>5</t>
  </si>
  <si>
    <t>みやび園</t>
    <rPh sb="3" eb="4">
      <t>エン</t>
    </rPh>
    <phoneticPr fontId="1"/>
  </si>
  <si>
    <t>３２-００８８</t>
  </si>
  <si>
    <t>(福)松高福祉会</t>
    <rPh sb="1" eb="2">
      <t>フク</t>
    </rPh>
    <rPh sb="3" eb="4">
      <t>マツ</t>
    </rPh>
    <rPh sb="4" eb="5">
      <t>タカ</t>
    </rPh>
    <rPh sb="5" eb="7">
      <t>フクシ</t>
    </rPh>
    <rPh sb="7" eb="8">
      <t>カイ</t>
    </rPh>
    <phoneticPr fontId="1"/>
  </si>
  <si>
    <t>6</t>
  </si>
  <si>
    <t>坂本の里一灯苑</t>
    <rPh sb="0" eb="2">
      <t>サカモト</t>
    </rPh>
    <rPh sb="3" eb="4">
      <t>サト</t>
    </rPh>
    <rPh sb="4" eb="6">
      <t>イットウ</t>
    </rPh>
    <rPh sb="6" eb="7">
      <t>ソノ</t>
    </rPh>
    <phoneticPr fontId="1"/>
  </si>
  <si>
    <t>５３-７２７７</t>
  </si>
  <si>
    <t>(福)川岳福祉会</t>
    <rPh sb="1" eb="2">
      <t>フク</t>
    </rPh>
    <rPh sb="3" eb="4">
      <t>カワ</t>
    </rPh>
    <rPh sb="4" eb="5">
      <t>ガク</t>
    </rPh>
    <rPh sb="5" eb="7">
      <t>フクシ</t>
    </rPh>
    <rPh sb="7" eb="8">
      <t>カイ</t>
    </rPh>
    <phoneticPr fontId="1"/>
  </si>
  <si>
    <t>7</t>
  </si>
  <si>
    <t>康和苑</t>
    <rPh sb="0" eb="2">
      <t>コウワ</t>
    </rPh>
    <rPh sb="2" eb="3">
      <t>エン</t>
    </rPh>
    <phoneticPr fontId="1"/>
  </si>
  <si>
    <t>４６-１１４４</t>
  </si>
  <si>
    <t>(福)康和福祉会</t>
    <rPh sb="1" eb="2">
      <t>フク</t>
    </rPh>
    <rPh sb="3" eb="5">
      <t>コウワ</t>
    </rPh>
    <rPh sb="5" eb="7">
      <t>フクシ</t>
    </rPh>
    <rPh sb="7" eb="8">
      <t>カイ</t>
    </rPh>
    <phoneticPr fontId="1"/>
  </si>
  <si>
    <t>8</t>
  </si>
  <si>
    <t>安寿の里</t>
    <rPh sb="0" eb="2">
      <t>アンジュ</t>
    </rPh>
    <rPh sb="3" eb="4">
      <t>サト</t>
    </rPh>
    <phoneticPr fontId="1"/>
  </si>
  <si>
    <t>５３-２１００</t>
  </si>
  <si>
    <t>(福)至誠会</t>
    <rPh sb="1" eb="2">
      <t>フク</t>
    </rPh>
    <rPh sb="3" eb="4">
      <t>シ</t>
    </rPh>
    <rPh sb="4" eb="5">
      <t>セイ</t>
    </rPh>
    <rPh sb="5" eb="6">
      <t>カイ</t>
    </rPh>
    <phoneticPr fontId="1"/>
  </si>
  <si>
    <t>9</t>
  </si>
  <si>
    <t>ひかわの里</t>
    <rPh sb="4" eb="5">
      <t>サト</t>
    </rPh>
    <phoneticPr fontId="1"/>
  </si>
  <si>
    <t>６５-３１００</t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</si>
  <si>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1"/>
  </si>
  <si>
    <t>みなみ園</t>
    <rPh sb="3" eb="4">
      <t>エン</t>
    </rPh>
    <phoneticPr fontId="1"/>
  </si>
  <si>
    <t>日奈久塩南町54</t>
    <rPh sb="0" eb="3">
      <t>ヒナグ</t>
    </rPh>
    <rPh sb="4" eb="6">
      <t>ミナミマチ</t>
    </rPh>
    <phoneticPr fontId="1"/>
  </si>
  <si>
    <t>３８－３７３０</t>
  </si>
  <si>
    <r>
      <t xml:space="preserve">【　介 護 保 険 に よ る 施 設 </t>
    </r>
    <r>
      <rPr>
        <b/>
        <sz val="12"/>
        <rFont val="ＭＳ Ｐゴシック"/>
        <family val="3"/>
        <charset val="128"/>
      </rPr>
      <t>（介護の認定が必要）　】　　</t>
    </r>
    <r>
      <rPr>
        <b/>
        <sz val="11"/>
        <rFont val="ＭＳ Ｐゴシック"/>
        <family val="3"/>
        <charset val="128"/>
      </rPr>
      <t>※お申込みは各事業者へ</t>
    </r>
    <rPh sb="2" eb="3">
      <t>スケ</t>
    </rPh>
    <rPh sb="4" eb="5">
      <t>ユズル</t>
    </rPh>
    <rPh sb="6" eb="7">
      <t>ホ</t>
    </rPh>
    <rPh sb="8" eb="9">
      <t>ケン</t>
    </rPh>
    <rPh sb="16" eb="17">
      <t>シ</t>
    </rPh>
    <rPh sb="18" eb="19">
      <t>セツ</t>
    </rPh>
    <rPh sb="21" eb="23">
      <t>カイゴ</t>
    </rPh>
    <rPh sb="24" eb="26">
      <t>ニンテイ</t>
    </rPh>
    <rPh sb="27" eb="29">
      <t>ヒツヨウ</t>
    </rPh>
    <rPh sb="36" eb="37">
      <t>モウ</t>
    </rPh>
    <rPh sb="37" eb="38">
      <t>コ</t>
    </rPh>
    <rPh sb="40" eb="41">
      <t>カク</t>
    </rPh>
    <rPh sb="41" eb="44">
      <t>ジギョウシャ</t>
    </rPh>
    <phoneticPr fontId="7"/>
  </si>
  <si>
    <t>施設の名称</t>
    <rPh sb="0" eb="2">
      <t>シセツ</t>
    </rPh>
    <rPh sb="3" eb="5">
      <t>メイショウ</t>
    </rPh>
    <phoneticPr fontId="7"/>
  </si>
  <si>
    <t>住所（八代市）</t>
    <rPh sb="0" eb="2">
      <t>ジュウショ</t>
    </rPh>
    <rPh sb="3" eb="6">
      <t>ヤツシロシ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</si>
  <si>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</si>
  <si>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</si>
  <si>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定員</t>
    <rPh sb="0" eb="2">
      <t>テイイン</t>
    </rPh>
    <phoneticPr fontId="7"/>
  </si>
  <si>
    <t>現入所者数</t>
    <rPh sb="0" eb="1">
      <t>ゲン</t>
    </rPh>
    <rPh sb="1" eb="4">
      <t>ニュウショシャ</t>
    </rPh>
    <rPh sb="4" eb="5">
      <t>スウ</t>
    </rPh>
    <phoneticPr fontId="7"/>
  </si>
  <si>
    <t>入所待機者数</t>
    <rPh sb="0" eb="2">
      <t>ニュウショ</t>
    </rPh>
    <rPh sb="2" eb="5">
      <t>タイキシャ</t>
    </rPh>
    <rPh sb="5" eb="6">
      <t>スウ</t>
    </rPh>
    <phoneticPr fontId="7"/>
  </si>
  <si>
    <t>(福)敬愛会</t>
    <rPh sb="1" eb="2">
      <t>フク</t>
    </rPh>
    <rPh sb="3" eb="5">
      <t>ケイアイ</t>
    </rPh>
    <rPh sb="5" eb="6">
      <t>カイ</t>
    </rPh>
    <phoneticPr fontId="7"/>
  </si>
  <si>
    <t>(福)天龍会</t>
    <rPh sb="1" eb="2">
      <t>フク</t>
    </rPh>
    <rPh sb="3" eb="5">
      <t>テンリュウ</t>
    </rPh>
    <rPh sb="5" eb="6">
      <t>カイ</t>
    </rPh>
    <phoneticPr fontId="7"/>
  </si>
  <si>
    <t>(福)ま心苑会</t>
    <rPh sb="1" eb="2">
      <t>フク</t>
    </rPh>
    <rPh sb="4" eb="5">
      <t>ココロ</t>
    </rPh>
    <rPh sb="5" eb="6">
      <t>エン</t>
    </rPh>
    <rPh sb="6" eb="7">
      <t>カイ</t>
    </rPh>
    <phoneticPr fontId="7"/>
  </si>
  <si>
    <t>(福)東泉会</t>
    <rPh sb="1" eb="2">
      <t>フク</t>
    </rPh>
    <rPh sb="3" eb="4">
      <t>ヒガシ</t>
    </rPh>
    <rPh sb="4" eb="5">
      <t>イズミ</t>
    </rPh>
    <rPh sb="5" eb="6">
      <t>カイ</t>
    </rPh>
    <phoneticPr fontId="7"/>
  </si>
  <si>
    <t>希望</t>
    <rPh sb="0" eb="2">
      <t>キボウ</t>
    </rPh>
    <phoneticPr fontId="7"/>
  </si>
  <si>
    <t>(福）龍峯会</t>
    <rPh sb="1" eb="2">
      <t>フク</t>
    </rPh>
    <rPh sb="3" eb="4">
      <t>リュウ</t>
    </rPh>
    <rPh sb="4" eb="5">
      <t>ホウ</t>
    </rPh>
    <rPh sb="5" eb="6">
      <t>カイ</t>
    </rPh>
    <phoneticPr fontId="7"/>
  </si>
  <si>
    <t>八代草</t>
    <rPh sb="0" eb="2">
      <t>ヤツシロ</t>
    </rPh>
    <rPh sb="2" eb="3">
      <t>クサ</t>
    </rPh>
    <phoneticPr fontId="7"/>
  </si>
  <si>
    <t>(福）平成苑</t>
    <rPh sb="1" eb="2">
      <t>フク</t>
    </rPh>
    <rPh sb="3" eb="5">
      <t>ヘイセイ</t>
    </rPh>
    <rPh sb="5" eb="6">
      <t>エン</t>
    </rPh>
    <phoneticPr fontId="7"/>
  </si>
  <si>
    <t>キャッスル麦島</t>
    <rPh sb="5" eb="7">
      <t>ムギシマ</t>
    </rPh>
    <phoneticPr fontId="7"/>
  </si>
  <si>
    <t>(福）八代愛育会</t>
    <rPh sb="1" eb="2">
      <t>フク</t>
    </rPh>
    <rPh sb="3" eb="5">
      <t>ヤツシロ</t>
    </rPh>
    <rPh sb="5" eb="7">
      <t>アイイク</t>
    </rPh>
    <rPh sb="7" eb="8">
      <t>カイ</t>
    </rPh>
    <phoneticPr fontId="7"/>
  </si>
  <si>
    <t>サテライト　安寿の里</t>
    <rPh sb="6" eb="8">
      <t>アンジュ</t>
    </rPh>
    <rPh sb="9" eb="10">
      <t>サト</t>
    </rPh>
    <phoneticPr fontId="7"/>
  </si>
  <si>
    <t>あさひ園みやじ</t>
    <rPh sb="3" eb="4">
      <t>エン</t>
    </rPh>
    <phoneticPr fontId="7"/>
  </si>
  <si>
    <t>宮地町169-1</t>
    <rPh sb="0" eb="3">
      <t>ミヤジマチ</t>
    </rPh>
    <phoneticPr fontId="7"/>
  </si>
  <si>
    <t>(福) 郷寿会</t>
    <rPh sb="4" eb="6">
      <t>キョウジュ</t>
    </rPh>
    <rPh sb="6" eb="7">
      <t>カイ</t>
    </rPh>
    <phoneticPr fontId="7"/>
  </si>
  <si>
    <t>【 介護老人保健施設 】</t>
    <rPh sb="2" eb="4">
      <t>カイゴ</t>
    </rPh>
    <rPh sb="4" eb="6">
      <t>ロウジン</t>
    </rPh>
    <rPh sb="6" eb="8">
      <t>ホケン</t>
    </rPh>
    <rPh sb="8" eb="10">
      <t>シセツ</t>
    </rPh>
    <phoneticPr fontId="7"/>
  </si>
  <si>
    <t>皇寿園</t>
    <rPh sb="0" eb="1">
      <t>コウ</t>
    </rPh>
    <rPh sb="1" eb="2">
      <t>ジュ</t>
    </rPh>
    <rPh sb="2" eb="3">
      <t>エン</t>
    </rPh>
    <phoneticPr fontId="7"/>
  </si>
  <si>
    <t>３３-５５４５</t>
  </si>
  <si>
    <t>(医)初友会</t>
    <rPh sb="1" eb="2">
      <t>イ</t>
    </rPh>
    <rPh sb="3" eb="4">
      <t>ショ</t>
    </rPh>
    <rPh sb="4" eb="6">
      <t>ユウカイ</t>
    </rPh>
    <phoneticPr fontId="7"/>
  </si>
  <si>
    <t>向春苑</t>
    <rPh sb="0" eb="2">
      <t>コウシュン</t>
    </rPh>
    <rPh sb="2" eb="3">
      <t>エン</t>
    </rPh>
    <phoneticPr fontId="7"/>
  </si>
  <si>
    <t>３３-８６６０</t>
  </si>
  <si>
    <t>(福)権現福祉会</t>
    <rPh sb="1" eb="2">
      <t>フク</t>
    </rPh>
    <rPh sb="3" eb="5">
      <t>ゴンゲン</t>
    </rPh>
    <rPh sb="5" eb="7">
      <t>フクシ</t>
    </rPh>
    <rPh sb="7" eb="8">
      <t>カイ</t>
    </rPh>
    <phoneticPr fontId="7"/>
  </si>
  <si>
    <t>リハリート桜十字八代</t>
    <rPh sb="5" eb="8">
      <t>サクラジュウジ</t>
    </rPh>
    <rPh sb="8" eb="10">
      <t>ヤツシロ</t>
    </rPh>
    <phoneticPr fontId="7"/>
  </si>
  <si>
    <t>３３-８８８０</t>
  </si>
  <si>
    <t>(医)八代桜十字</t>
    <rPh sb="1" eb="2">
      <t>イ</t>
    </rPh>
    <rPh sb="3" eb="5">
      <t>ヤツシロ</t>
    </rPh>
    <rPh sb="5" eb="8">
      <t>サクラジュウジ</t>
    </rPh>
    <phoneticPr fontId="7"/>
  </si>
  <si>
    <t>３７-３７３７</t>
  </si>
  <si>
    <t>(医)カジオ会</t>
    <rPh sb="1" eb="2">
      <t>イ</t>
    </rPh>
    <rPh sb="6" eb="7">
      <t>カイ</t>
    </rPh>
    <phoneticPr fontId="7"/>
  </si>
  <si>
    <t>ﾊﾋﾟﾈｽｹｱ日南</t>
    <rPh sb="7" eb="9">
      <t>ニチナン</t>
    </rPh>
    <phoneticPr fontId="7"/>
  </si>
  <si>
    <t>３８-０７００</t>
  </si>
  <si>
    <t>かがみ苑</t>
    <rPh sb="3" eb="4">
      <t>エン</t>
    </rPh>
    <phoneticPr fontId="7"/>
  </si>
  <si>
    <t>３０-４０００</t>
  </si>
  <si>
    <t>(医)司会</t>
    <rPh sb="1" eb="2">
      <t>イ</t>
    </rPh>
    <rPh sb="3" eb="5">
      <t>シカイ</t>
    </rPh>
    <phoneticPr fontId="7"/>
  </si>
  <si>
    <t>【介護医療院】</t>
    <rPh sb="1" eb="3">
      <t>カイゴ</t>
    </rPh>
    <rPh sb="3" eb="5">
      <t>イリョウ</t>
    </rPh>
    <rPh sb="5" eb="6">
      <t>イン</t>
    </rPh>
    <phoneticPr fontId="7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</si>
  <si>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7"/>
  </si>
  <si>
    <t>３４-７９１１</t>
  </si>
  <si>
    <t>(医)敬仁会</t>
    <rPh sb="1" eb="2">
      <t>イ</t>
    </rPh>
    <rPh sb="3" eb="4">
      <t>ケイ</t>
    </rPh>
    <rPh sb="4" eb="5">
      <t>ジン</t>
    </rPh>
    <rPh sb="5" eb="6">
      <t>カイ</t>
    </rPh>
    <phoneticPr fontId="7"/>
  </si>
  <si>
    <t>平成病院</t>
    <rPh sb="0" eb="2">
      <t>ヘイセイ</t>
    </rPh>
    <rPh sb="2" eb="4">
      <t>ビョウイン</t>
    </rPh>
    <phoneticPr fontId="7"/>
  </si>
  <si>
    <t>３２-８１７１</t>
  </si>
  <si>
    <t>(医)平成会</t>
    <rPh sb="1" eb="2">
      <t>イ</t>
    </rPh>
    <rPh sb="3" eb="5">
      <t>ヘイセイ</t>
    </rPh>
    <rPh sb="5" eb="6">
      <t>カイ</t>
    </rPh>
    <phoneticPr fontId="7"/>
  </si>
  <si>
    <t>【 特定施設入居者生活介護 】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phoneticPr fontId="7"/>
  </si>
  <si>
    <t>３７-３０３７</t>
  </si>
  <si>
    <t>(株)HC.ﾌﾞﾛｯｻﾑｽﾞ</t>
    <rPh sb="1" eb="2">
      <t>カブ</t>
    </rPh>
    <phoneticPr fontId="7"/>
  </si>
  <si>
    <t>グッドライフ本町</t>
    <rPh sb="6" eb="8">
      <t>ホンマチ</t>
    </rPh>
    <phoneticPr fontId="7"/>
  </si>
  <si>
    <t>３０-８１８１</t>
  </si>
  <si>
    <t>(医)明朋会</t>
    <rPh sb="1" eb="2">
      <t>イ</t>
    </rPh>
    <rPh sb="3" eb="4">
      <t>メイ</t>
    </rPh>
    <rPh sb="4" eb="5">
      <t>ホウ</t>
    </rPh>
    <rPh sb="5" eb="6">
      <t>カイ</t>
    </rPh>
    <phoneticPr fontId="7"/>
  </si>
  <si>
    <t>【 認知症対応型共同生活介護　（グループホーム） 】</t>
    <rPh sb="2" eb="4">
      <t>ニンチ</t>
    </rPh>
    <rPh sb="4" eb="5">
      <t>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7"/>
  </si>
  <si>
    <t>３０-８９５２</t>
  </si>
  <si>
    <t>(有)あい</t>
    <rPh sb="1" eb="2">
      <t>ユウ</t>
    </rPh>
    <phoneticPr fontId="7"/>
  </si>
  <si>
    <t>ｸﾞﾙｰﾌﾟﾎｰﾑま心</t>
    <rPh sb="10" eb="11">
      <t>ココロ</t>
    </rPh>
    <phoneticPr fontId="7"/>
  </si>
  <si>
    <t>ｸﾞﾙｰﾌﾟﾎｰﾑ清陽</t>
    <rPh sb="9" eb="10">
      <t>セイ</t>
    </rPh>
    <rPh sb="10" eb="11">
      <t>ヨウ</t>
    </rPh>
    <phoneticPr fontId="7"/>
  </si>
  <si>
    <t>３５-０６７８</t>
  </si>
  <si>
    <t>ｸﾞﾙｰﾌﾟﾎｰﾑ神苑</t>
    <rPh sb="9" eb="11">
      <t>シンエン</t>
    </rPh>
    <phoneticPr fontId="7"/>
  </si>
  <si>
    <t>３２-５５００</t>
  </si>
  <si>
    <t>(有)神苑</t>
    <rPh sb="1" eb="2">
      <t>ユウ</t>
    </rPh>
    <rPh sb="3" eb="5">
      <t>シンエン</t>
    </rPh>
    <phoneticPr fontId="7"/>
  </si>
  <si>
    <t>ｸﾞﾙｰﾌﾟﾎｰﾑ氷川</t>
    <rPh sb="9" eb="11">
      <t>ヒカワ</t>
    </rPh>
    <phoneticPr fontId="7"/>
  </si>
  <si>
    <t>６５-３１０１</t>
  </si>
  <si>
    <t>５２-８１５１</t>
  </si>
  <si>
    <t>（有）ウェルフェアファーム</t>
    <rPh sb="1" eb="2">
      <t>ユウ</t>
    </rPh>
    <phoneticPr fontId="7"/>
  </si>
  <si>
    <t>ｸﾞﾙｰﾌﾟﾎｰﾑうやなぎの杜</t>
    <rPh sb="14" eb="15">
      <t>モリ</t>
    </rPh>
    <phoneticPr fontId="7"/>
  </si>
  <si>
    <t>(NPO)八竜会</t>
    <rPh sb="5" eb="7">
      <t>ハチリュウ</t>
    </rPh>
    <rPh sb="7" eb="8">
      <t>カイ</t>
    </rPh>
    <phoneticPr fontId="7"/>
  </si>
  <si>
    <t>ｸﾞﾙｰﾌﾟﾎｰﾑ福寿荘</t>
    <rPh sb="9" eb="11">
      <t>フクジュ</t>
    </rPh>
    <rPh sb="11" eb="12">
      <t>ソウ</t>
    </rPh>
    <phoneticPr fontId="7"/>
  </si>
  <si>
    <t>３９-６１００</t>
  </si>
  <si>
    <t>(有)福寿荘</t>
    <rPh sb="1" eb="2">
      <t>ユウ</t>
    </rPh>
    <rPh sb="3" eb="5">
      <t>フクジュ</t>
    </rPh>
    <rPh sb="5" eb="6">
      <t>ソウ</t>
    </rPh>
    <phoneticPr fontId="7"/>
  </si>
  <si>
    <t>ｸﾞﾙｰﾌﾟﾎｰﾑきずなの郷</t>
    <rPh sb="13" eb="14">
      <t>サト</t>
    </rPh>
    <phoneticPr fontId="7"/>
  </si>
  <si>
    <t>３５-９８８０</t>
  </si>
  <si>
    <t>(有)ラポール新世園</t>
    <rPh sb="1" eb="2">
      <t>ユウ</t>
    </rPh>
    <rPh sb="7" eb="10">
      <t>シンセイエン</t>
    </rPh>
    <phoneticPr fontId="7"/>
  </si>
  <si>
    <t>ｸﾞﾙｰﾌﾟﾎｰﾑだいふくの杜</t>
    <rPh sb="14" eb="15">
      <t>モリ</t>
    </rPh>
    <phoneticPr fontId="7"/>
  </si>
  <si>
    <t>ｸﾞﾙｰﾌﾟﾎｰﾑ清陽「すえひろ」</t>
    <rPh sb="9" eb="10">
      <t>セイ</t>
    </rPh>
    <rPh sb="10" eb="11">
      <t>ヨウ</t>
    </rPh>
    <phoneticPr fontId="7"/>
  </si>
  <si>
    <t>ｸﾞﾙｰﾌﾟﾎｰﾑ｢ｸﾞﾘｰﾝｺｰﾌﾟほのか・八代」</t>
    <rPh sb="23" eb="25">
      <t>ヤツシロ</t>
    </rPh>
    <phoneticPr fontId="7"/>
  </si>
  <si>
    <t>（福）グリーンコープ</t>
    <rPh sb="1" eb="2">
      <t>フク</t>
    </rPh>
    <phoneticPr fontId="7"/>
  </si>
  <si>
    <t>（医）明佑会</t>
    <rPh sb="1" eb="2">
      <t>イ</t>
    </rPh>
    <rPh sb="3" eb="4">
      <t>メイ</t>
    </rPh>
    <rPh sb="4" eb="5">
      <t>ユウ</t>
    </rPh>
    <rPh sb="5" eb="6">
      <t>カイ</t>
    </rPh>
    <phoneticPr fontId="7"/>
  </si>
  <si>
    <t>ｸﾞﾙｰﾌﾟﾎｰﾑ清流</t>
    <rPh sb="9" eb="10">
      <t>セイ</t>
    </rPh>
    <rPh sb="10" eb="11">
      <t>リュウ</t>
    </rPh>
    <phoneticPr fontId="7"/>
  </si>
  <si>
    <t>（株）大渕産業</t>
    <rPh sb="1" eb="2">
      <t>カブ</t>
    </rPh>
    <rPh sb="3" eb="5">
      <t>オオフチ</t>
    </rPh>
    <rPh sb="5" eb="7">
      <t>サンギョウ</t>
    </rPh>
    <phoneticPr fontId="7"/>
  </si>
  <si>
    <t>ｸﾞﾙｰﾌﾟﾎｰﾑしあわせの里</t>
    <rPh sb="14" eb="15">
      <t>サト</t>
    </rPh>
    <phoneticPr fontId="7"/>
  </si>
  <si>
    <t>（福）川岳福祉会</t>
    <rPh sb="1" eb="2">
      <t>フク</t>
    </rPh>
    <rPh sb="3" eb="4">
      <t>カワ</t>
    </rPh>
    <rPh sb="4" eb="5">
      <t>タケ</t>
    </rPh>
    <rPh sb="5" eb="7">
      <t>フクシ</t>
    </rPh>
    <rPh sb="7" eb="8">
      <t>カイ</t>
    </rPh>
    <phoneticPr fontId="7"/>
  </si>
  <si>
    <t>ｸﾞﾙｰﾌﾟﾎｰﾑ清風</t>
    <rPh sb="9" eb="10">
      <t>セイ</t>
    </rPh>
    <rPh sb="10" eb="11">
      <t>カゼ</t>
    </rPh>
    <phoneticPr fontId="7"/>
  </si>
  <si>
    <t>（株）大渕産業</t>
  </si>
  <si>
    <t>ｸﾞﾙｰﾌﾟﾎｰﾑ清花</t>
    <rPh sb="9" eb="10">
      <t>セイ</t>
    </rPh>
    <rPh sb="10" eb="11">
      <t>ハナ</t>
    </rPh>
    <phoneticPr fontId="7"/>
  </si>
  <si>
    <t>郡築一番町103番9</t>
    <rPh sb="0" eb="2">
      <t>グンチク</t>
    </rPh>
    <rPh sb="2" eb="4">
      <t>イチバン</t>
    </rPh>
    <rPh sb="4" eb="5">
      <t>マチ</t>
    </rPh>
    <rPh sb="8" eb="9">
      <t>バン</t>
    </rPh>
    <phoneticPr fontId="7"/>
  </si>
  <si>
    <t>【 小規模多機能型居宅介護 】</t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7"/>
  </si>
  <si>
    <t>４６-１７９０</t>
  </si>
  <si>
    <t>(有)キッポー</t>
    <rPh sb="1" eb="2">
      <t>ユウ</t>
    </rPh>
    <phoneticPr fontId="7"/>
  </si>
  <si>
    <t>憩いの家　楽しみ</t>
    <rPh sb="0" eb="1">
      <t>イコ</t>
    </rPh>
    <rPh sb="3" eb="4">
      <t>イエ</t>
    </rPh>
    <rPh sb="5" eb="6">
      <t>タノ</t>
    </rPh>
    <phoneticPr fontId="7"/>
  </si>
  <si>
    <t>３５-１６１６</t>
  </si>
  <si>
    <t>(福)二見中央福祉会</t>
    <rPh sb="1" eb="2">
      <t>フク</t>
    </rPh>
    <rPh sb="3" eb="5">
      <t>フタミ</t>
    </rPh>
    <rPh sb="5" eb="7">
      <t>チュウオウ</t>
    </rPh>
    <rPh sb="7" eb="9">
      <t>フクシ</t>
    </rPh>
    <rPh sb="9" eb="10">
      <t>カイ</t>
    </rPh>
    <phoneticPr fontId="7"/>
  </si>
  <si>
    <t>木もれびの家</t>
    <rPh sb="0" eb="1">
      <t>キ</t>
    </rPh>
    <rPh sb="5" eb="6">
      <t>イエ</t>
    </rPh>
    <phoneticPr fontId="7"/>
  </si>
  <si>
    <t>６５-３０１１</t>
  </si>
  <si>
    <t>なごみの広場</t>
    <rPh sb="4" eb="6">
      <t>ヒロバ</t>
    </rPh>
    <phoneticPr fontId="7"/>
  </si>
  <si>
    <t>豊原下町4115番地</t>
    <rPh sb="0" eb="4">
      <t>ブイワラシモマチ</t>
    </rPh>
    <rPh sb="8" eb="10">
      <t>バンチ</t>
    </rPh>
    <phoneticPr fontId="7"/>
  </si>
  <si>
    <t>３５-０１１２</t>
  </si>
  <si>
    <t>３３-２０３４</t>
  </si>
  <si>
    <t>(株)ヒューマンケアブロッサムズ</t>
    <rPh sb="1" eb="2">
      <t>カブ</t>
    </rPh>
    <phoneticPr fontId="7"/>
  </si>
  <si>
    <t>小規模多機能ホームこうだ</t>
    <rPh sb="0" eb="3">
      <t>ショウキボ</t>
    </rPh>
    <rPh sb="3" eb="6">
      <t>タキノウ</t>
    </rPh>
    <phoneticPr fontId="7"/>
  </si>
  <si>
    <t>３５-１５６６</t>
  </si>
  <si>
    <t>桃の花</t>
    <rPh sb="0" eb="1">
      <t>モモ</t>
    </rPh>
    <rPh sb="2" eb="3">
      <t>ハナ</t>
    </rPh>
    <phoneticPr fontId="7"/>
  </si>
  <si>
    <t>５２-００１２</t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</si>
  <si>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7"/>
  </si>
  <si>
    <t>６７-２８８８</t>
  </si>
  <si>
    <t>小規模多機能ホーム　ブロッサムⅡ</t>
    <rPh sb="0" eb="6">
      <t>ショウキボタキノウ</t>
    </rPh>
    <phoneticPr fontId="7"/>
  </si>
  <si>
    <t>郡築３番町81-1</t>
    <rPh sb="0" eb="2">
      <t>グンチク</t>
    </rPh>
    <rPh sb="3" eb="5">
      <t>バンチョウ</t>
    </rPh>
    <phoneticPr fontId="7"/>
  </si>
  <si>
    <t>　【 複合型サービス 】</t>
    <rPh sb="3" eb="6">
      <t>フクゴウガタ</t>
    </rPh>
    <phoneticPr fontId="7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</si>
  <si>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7"/>
  </si>
  <si>
    <t>セントケア看護小規模八代</t>
    <rPh sb="5" eb="7">
      <t>カンゴ</t>
    </rPh>
    <rPh sb="7" eb="10">
      <t>ショウキボ</t>
    </rPh>
    <rPh sb="10" eb="12">
      <t>ヤツシロ</t>
    </rPh>
    <phoneticPr fontId="7"/>
  </si>
  <si>
    <t>セントケア九州（株）</t>
    <rPh sb="5" eb="7">
      <t>キュウシュウ</t>
    </rPh>
    <rPh sb="7" eb="10">
      <t>カブ</t>
    </rPh>
    <phoneticPr fontId="7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</si>
  <si>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</si>
  <si>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3"/>
  </si>
  <si>
    <t>３９-１１２０</t>
  </si>
  <si>
    <t>６２-８５５０</t>
  </si>
  <si>
    <t>６２-８８６８</t>
  </si>
  <si>
    <t>３７-８５５５</t>
  </si>
  <si>
    <t>(福) 至誠会</t>
  </si>
  <si>
    <t>４５－５５９５</t>
  </si>
  <si>
    <t>【 介護老人福祉施設 】</t>
    <phoneticPr fontId="3"/>
  </si>
  <si>
    <t>要介護３以上の認定者。費用は介護度、部屋のタイプ、施設の体制により異なる。常に介護が必要で、自宅では介護ができない方が対象の施設。食事、入浴等の日常生活の介護や健康管理を行う。</t>
    <phoneticPr fontId="3"/>
  </si>
  <si>
    <t>【 地域密着型介護老人福祉施設（小規模特養） 】</t>
    <phoneticPr fontId="3"/>
  </si>
  <si>
    <t>病状が安定し、リハビリに重点を置いた介護が必要な方が対象。
医学的な管理のもとでの介護や看護、リハビリを行う。
要介護１以上の認定者。費用は介護度、部屋のタイプ、施設の体制により異なる。</t>
    <phoneticPr fontId="3"/>
  </si>
  <si>
    <t>とまと</t>
  </si>
  <si>
    <t>要介護１以上の認定者。費用は介護度により異なる。
医療と介護が一体的に受けられます。主に長期にわたり療養が必要な人が対象。</t>
    <phoneticPr fontId="3"/>
  </si>
  <si>
    <t>有料老人ホームなどで食事、入浴などの介護や機能訓練が受けられる施設。</t>
    <phoneticPr fontId="3"/>
  </si>
  <si>
    <t>ブロッサムやつしろ</t>
  </si>
  <si>
    <t>ブロッサムやつしろⅢ</t>
  </si>
  <si>
    <t>４５－５４７２</t>
  </si>
  <si>
    <t>【 地域密着型特定施設入居者生活介護 】</t>
    <phoneticPr fontId="3"/>
  </si>
  <si>
    <t>ｸﾞﾙｰﾌﾟﾎｰﾑあい</t>
  </si>
  <si>
    <t>ｸﾞﾙｰﾌﾟﾎｰﾑざぼん</t>
  </si>
  <si>
    <t>３５－２１２０</t>
  </si>
  <si>
    <t>３５－２１２１</t>
  </si>
  <si>
    <t>３３－５００１</t>
  </si>
  <si>
    <t>３０－０１３１</t>
  </si>
  <si>
    <t>ｸﾞﾙｰﾌﾟﾎｰﾑひかり</t>
  </si>
  <si>
    <t>６２－８４６８</t>
  </si>
  <si>
    <t>３７－１０８８</t>
  </si>
  <si>
    <t>３８－９１９１</t>
  </si>
  <si>
    <t>３２－３２００</t>
  </si>
  <si>
    <t>３７―８２２８</t>
  </si>
  <si>
    <t>小規模な住居型の施設で、通いを中心としながら訪問、短期間の宿泊などを組み合わせて食事、入浴などの介護や支援が受けられる。</t>
    <phoneticPr fontId="3"/>
  </si>
  <si>
    <t>吉方庵（きっぽうあん）</t>
  </si>
  <si>
    <t>ブロッサム</t>
  </si>
  <si>
    <t>合同会社　如月</t>
  </si>
  <si>
    <t>３７-３５３３</t>
  </si>
  <si>
    <t>医療ニーズの高い要介護者に対応するため、小規模多機能居宅介護のサービスに加え、必要に応じて訪問看護のサービスがうけられる。</t>
    <phoneticPr fontId="3"/>
  </si>
  <si>
    <t>６２-８８６５</t>
  </si>
  <si>
    <t>５２-８２１１</t>
  </si>
  <si>
    <t>介護老人保健施設</t>
  </si>
  <si>
    <t>介護医療院</t>
  </si>
  <si>
    <t>特定施設入居者生活介護</t>
  </si>
  <si>
    <t>地域密着型特定施設入居者生活介護</t>
  </si>
  <si>
    <t>小規模多機能型居宅介護</t>
  </si>
  <si>
    <t>複合型サービス</t>
  </si>
  <si>
    <t>認知症対応型共同生活介護</t>
  </si>
  <si>
    <t>施設の種類</t>
    <rPh sb="0" eb="2">
      <t>シセツ</t>
    </rPh>
    <rPh sb="3" eb="5">
      <t>シュルイ</t>
    </rPh>
    <phoneticPr fontId="3"/>
  </si>
  <si>
    <t>上日置町2345</t>
    <rPh sb="0" eb="4">
      <t>カミヒオキマチ</t>
    </rPh>
    <phoneticPr fontId="1"/>
  </si>
  <si>
    <t>日奈久塩北町2905</t>
    <rPh sb="0" eb="6">
      <t>ヒナグシオキタマチ</t>
    </rPh>
    <phoneticPr fontId="1"/>
  </si>
  <si>
    <t>葭牟田町435</t>
    <rPh sb="0" eb="4">
      <t>ヨシムタマチ</t>
    </rPh>
    <phoneticPr fontId="1"/>
  </si>
  <si>
    <t>敷川内町2251-1</t>
    <rPh sb="0" eb="1">
      <t>シキ</t>
    </rPh>
    <rPh sb="1" eb="4">
      <t>カワウチマチ</t>
    </rPh>
    <phoneticPr fontId="1"/>
  </si>
  <si>
    <t>高島町4221</t>
    <rPh sb="0" eb="3">
      <t>タカシママチ</t>
    </rPh>
    <phoneticPr fontId="1"/>
  </si>
  <si>
    <t>坂本町坂本1071</t>
    <rPh sb="0" eb="2">
      <t>サカモト</t>
    </rPh>
    <rPh sb="2" eb="3">
      <t>マチ</t>
    </rPh>
    <rPh sb="3" eb="5">
      <t>サカモト</t>
    </rPh>
    <phoneticPr fontId="1"/>
  </si>
  <si>
    <t>千丁町太牟田1300-8</t>
    <rPh sb="0" eb="3">
      <t>センチョウマチ</t>
    </rPh>
    <rPh sb="3" eb="4">
      <t>フト</t>
    </rPh>
    <rPh sb="4" eb="6">
      <t>ムタ</t>
    </rPh>
    <phoneticPr fontId="1"/>
  </si>
  <si>
    <t>鏡町両出880-1</t>
    <rPh sb="0" eb="2">
      <t>カガミマチ</t>
    </rPh>
    <rPh sb="2" eb="3">
      <t>リョウ</t>
    </rPh>
    <rPh sb="3" eb="4">
      <t>デ</t>
    </rPh>
    <phoneticPr fontId="1"/>
  </si>
  <si>
    <t>東陽町南752-1</t>
    <rPh sb="0" eb="2">
      <t>トウヨウ</t>
    </rPh>
    <rPh sb="2" eb="3">
      <t>マチ</t>
    </rPh>
    <rPh sb="3" eb="4">
      <t>ミナミ</t>
    </rPh>
    <phoneticPr fontId="1"/>
  </si>
  <si>
    <t>興善寺町495-1</t>
    <rPh sb="0" eb="4">
      <t>コウゼンジマチ</t>
    </rPh>
    <phoneticPr fontId="7"/>
  </si>
  <si>
    <t>海士江町2833-1</t>
    <rPh sb="0" eb="4">
      <t>アマガエマチ</t>
    </rPh>
    <phoneticPr fontId="7"/>
  </si>
  <si>
    <t>古城町1938-1</t>
    <rPh sb="0" eb="3">
      <t>フルシロマチ</t>
    </rPh>
    <phoneticPr fontId="7"/>
  </si>
  <si>
    <t>鏡町内田742-2</t>
    <rPh sb="0" eb="2">
      <t>カガミマチ</t>
    </rPh>
    <rPh sb="2" eb="4">
      <t>ウチダ</t>
    </rPh>
    <phoneticPr fontId="7"/>
  </si>
  <si>
    <t>高島町4218</t>
    <rPh sb="0" eb="3">
      <t>タカシママチ</t>
    </rPh>
    <phoneticPr fontId="7"/>
  </si>
  <si>
    <t>大福寺町2411-1</t>
    <rPh sb="0" eb="1">
      <t>ダイ</t>
    </rPh>
    <rPh sb="1" eb="2">
      <t>フク</t>
    </rPh>
    <rPh sb="2" eb="3">
      <t>ジ</t>
    </rPh>
    <rPh sb="3" eb="4">
      <t>マチ</t>
    </rPh>
    <phoneticPr fontId="7"/>
  </si>
  <si>
    <t>古閑浜町3401</t>
    <rPh sb="0" eb="4">
      <t>コガハママチ</t>
    </rPh>
    <phoneticPr fontId="7"/>
  </si>
  <si>
    <t>郡築一番町180-1</t>
    <rPh sb="0" eb="1">
      <t>グン</t>
    </rPh>
    <rPh sb="1" eb="2">
      <t>チク</t>
    </rPh>
    <rPh sb="2" eb="5">
      <t>イチバンチョウ</t>
    </rPh>
    <phoneticPr fontId="7"/>
  </si>
  <si>
    <t>日奈久塩北町2922</t>
    <rPh sb="0" eb="3">
      <t>ヒナグ</t>
    </rPh>
    <rPh sb="3" eb="4">
      <t>シオ</t>
    </rPh>
    <rPh sb="4" eb="5">
      <t>キタ</t>
    </rPh>
    <rPh sb="5" eb="6">
      <t>マチ</t>
    </rPh>
    <phoneticPr fontId="7"/>
  </si>
  <si>
    <t>鏡町塩浜235</t>
    <rPh sb="0" eb="2">
      <t>カガミマチ</t>
    </rPh>
    <rPh sb="2" eb="4">
      <t>シオハマ</t>
    </rPh>
    <phoneticPr fontId="7"/>
  </si>
  <si>
    <t>海士江町2817</t>
    <rPh sb="0" eb="4">
      <t>アマガエマチ</t>
    </rPh>
    <phoneticPr fontId="7"/>
  </si>
  <si>
    <t>大村町720-1</t>
    <rPh sb="0" eb="3">
      <t>オオムラマチ</t>
    </rPh>
    <phoneticPr fontId="7"/>
  </si>
  <si>
    <t>郡築四番町101-4</t>
    <rPh sb="0" eb="1">
      <t>グン</t>
    </rPh>
    <rPh sb="1" eb="2">
      <t>チク</t>
    </rPh>
    <rPh sb="2" eb="5">
      <t>ヨンバンチョウ</t>
    </rPh>
    <phoneticPr fontId="7"/>
  </si>
  <si>
    <t>郡築三番町81-2</t>
    <rPh sb="0" eb="1">
      <t>グン</t>
    </rPh>
    <rPh sb="1" eb="2">
      <t>チク</t>
    </rPh>
    <rPh sb="2" eb="3">
      <t>サン</t>
    </rPh>
    <rPh sb="3" eb="5">
      <t>バンチョウ</t>
    </rPh>
    <phoneticPr fontId="7"/>
  </si>
  <si>
    <t>本町１丁目1-60</t>
    <rPh sb="0" eb="2">
      <t>ホンマチ</t>
    </rPh>
    <rPh sb="3" eb="5">
      <t>チョウメ</t>
    </rPh>
    <phoneticPr fontId="7"/>
  </si>
  <si>
    <t>島田町863-3</t>
    <rPh sb="0" eb="3">
      <t>シマダマチ</t>
    </rPh>
    <phoneticPr fontId="7"/>
  </si>
  <si>
    <t>敷川内町2243-2</t>
    <rPh sb="0" eb="1">
      <t>シキ</t>
    </rPh>
    <rPh sb="1" eb="4">
      <t>カワウチマチ</t>
    </rPh>
    <phoneticPr fontId="7"/>
  </si>
  <si>
    <t>揚町47-1</t>
    <rPh sb="0" eb="2">
      <t>アゲマチ</t>
    </rPh>
    <phoneticPr fontId="7"/>
  </si>
  <si>
    <t>松江本町2-50</t>
    <rPh sb="0" eb="2">
      <t>マツエ</t>
    </rPh>
    <rPh sb="2" eb="4">
      <t>ホンマチ</t>
    </rPh>
    <phoneticPr fontId="7"/>
  </si>
  <si>
    <t>東陽町南762-1</t>
    <rPh sb="0" eb="2">
      <t>トウヨウ</t>
    </rPh>
    <rPh sb="2" eb="3">
      <t>マチ</t>
    </rPh>
    <rPh sb="3" eb="4">
      <t>ミナミ</t>
    </rPh>
    <phoneticPr fontId="7"/>
  </si>
  <si>
    <t>鏡町両出1327-6</t>
    <rPh sb="0" eb="2">
      <t>カガミマチ</t>
    </rPh>
    <rPh sb="2" eb="3">
      <t>リョウ</t>
    </rPh>
    <rPh sb="3" eb="4">
      <t>デ</t>
    </rPh>
    <phoneticPr fontId="7"/>
  </si>
  <si>
    <t>大福寺町313-1(1)</t>
    <rPh sb="0" eb="4">
      <t>ダイフクジマチ</t>
    </rPh>
    <phoneticPr fontId="7"/>
  </si>
  <si>
    <t>井揚町2552</t>
    <rPh sb="0" eb="3">
      <t>イアゲマチ</t>
    </rPh>
    <phoneticPr fontId="7"/>
  </si>
  <si>
    <t>古閑下町2225</t>
    <rPh sb="0" eb="4">
      <t>コガシモマチ</t>
    </rPh>
    <phoneticPr fontId="7"/>
  </si>
  <si>
    <t>大福寺町313-1(2)</t>
    <rPh sb="0" eb="4">
      <t>ダイフクジマチ</t>
    </rPh>
    <phoneticPr fontId="7"/>
  </si>
  <si>
    <t>末広町3-6</t>
    <rPh sb="0" eb="3">
      <t>スエヒロマチ</t>
    </rPh>
    <phoneticPr fontId="7"/>
  </si>
  <si>
    <t>本町四丁目2-28</t>
    <rPh sb="0" eb="5">
      <t>ホンマチヨンチョウメ</t>
    </rPh>
    <phoneticPr fontId="7"/>
  </si>
  <si>
    <t>渡町1717</t>
    <rPh sb="0" eb="1">
      <t>ワタリ</t>
    </rPh>
    <rPh sb="1" eb="2">
      <t>マチ</t>
    </rPh>
    <phoneticPr fontId="7"/>
  </si>
  <si>
    <t>昭和日進町152-3</t>
    <rPh sb="0" eb="2">
      <t>ショウワ</t>
    </rPh>
    <rPh sb="2" eb="5">
      <t>ニッシンマチ</t>
    </rPh>
    <phoneticPr fontId="7"/>
  </si>
  <si>
    <t>二見本町924-2</t>
    <rPh sb="0" eb="2">
      <t>フタミ</t>
    </rPh>
    <rPh sb="2" eb="4">
      <t>ホンマチ</t>
    </rPh>
    <phoneticPr fontId="7"/>
  </si>
  <si>
    <t>沖町3873－1</t>
    <rPh sb="0" eb="2">
      <t>オキマチ</t>
    </rPh>
    <phoneticPr fontId="7"/>
  </si>
  <si>
    <t>千丁町新牟田2520-2</t>
  </si>
  <si>
    <t>新町3-21</t>
    <rPh sb="0" eb="2">
      <t>シンマチ</t>
    </rPh>
    <phoneticPr fontId="7"/>
  </si>
  <si>
    <t>東陽町南1067-1</t>
    <rPh sb="0" eb="2">
      <t>トウヨウ</t>
    </rPh>
    <rPh sb="2" eb="3">
      <t>マチ</t>
    </rPh>
    <rPh sb="3" eb="4">
      <t>ミナミ</t>
    </rPh>
    <phoneticPr fontId="7"/>
  </si>
  <si>
    <t>沖町3604</t>
    <rPh sb="0" eb="1">
      <t>オキ</t>
    </rPh>
    <rPh sb="1" eb="2">
      <t>マチ</t>
    </rPh>
    <phoneticPr fontId="7"/>
  </si>
  <si>
    <t>高下西町1760</t>
    <rPh sb="0" eb="2">
      <t>コウゲ</t>
    </rPh>
    <rPh sb="2" eb="3">
      <t>ニシ</t>
    </rPh>
    <rPh sb="3" eb="4">
      <t>マチ</t>
    </rPh>
    <phoneticPr fontId="7"/>
  </si>
  <si>
    <t>鏡町両出1327-1</t>
    <rPh sb="0" eb="1">
      <t>カガミ</t>
    </rPh>
    <rPh sb="1" eb="2">
      <t>マチ</t>
    </rPh>
    <rPh sb="2" eb="3">
      <t>リョウ</t>
    </rPh>
    <rPh sb="3" eb="4">
      <t>デ</t>
    </rPh>
    <phoneticPr fontId="7"/>
  </si>
  <si>
    <t>泉町下岳4350</t>
    <rPh sb="0" eb="2">
      <t>イズミチョウ</t>
    </rPh>
    <rPh sb="2" eb="3">
      <t>シタ</t>
    </rPh>
    <rPh sb="3" eb="4">
      <t>ダケ</t>
    </rPh>
    <phoneticPr fontId="7"/>
  </si>
  <si>
    <t>松江本町2-50</t>
    <rPh sb="0" eb="2">
      <t>マツエ</t>
    </rPh>
    <rPh sb="2" eb="3">
      <t>ホン</t>
    </rPh>
    <rPh sb="3" eb="4">
      <t>マチ</t>
    </rPh>
    <phoneticPr fontId="7"/>
  </si>
  <si>
    <t>鏡町下有佐189-1</t>
  </si>
  <si>
    <t>介護老人保健施設</t>
    <phoneticPr fontId="3"/>
  </si>
  <si>
    <t>介護医療院</t>
    <phoneticPr fontId="3"/>
  </si>
  <si>
    <t>特定施設入居者生活介護</t>
    <phoneticPr fontId="3"/>
  </si>
  <si>
    <t>地域密着型特定施設入居者生活介護</t>
    <phoneticPr fontId="3"/>
  </si>
  <si>
    <t>認知症対応型共同生活介護</t>
    <phoneticPr fontId="3"/>
  </si>
  <si>
    <t>小規模多機能型居宅介護</t>
    <phoneticPr fontId="3"/>
  </si>
  <si>
    <t>介護老人福祉施設</t>
    <phoneticPr fontId="3"/>
  </si>
  <si>
    <t>地域密着型介護老人福祉施設</t>
    <phoneticPr fontId="3"/>
  </si>
  <si>
    <t>複合サービス</t>
    <phoneticPr fontId="3"/>
  </si>
  <si>
    <t>43B0200019</t>
  </si>
  <si>
    <t>43B0200027</t>
  </si>
  <si>
    <t>表示したいサービスを選択してください。（表示を消したいときはこちら「　」）</t>
    <rPh sb="0" eb="2">
      <t>ヒョウジ</t>
    </rPh>
    <rPh sb="10" eb="12">
      <t>センタク</t>
    </rPh>
    <rPh sb="20" eb="22">
      <t>ヒョウジ</t>
    </rPh>
    <rPh sb="23" eb="24">
      <t>ケ</t>
    </rPh>
    <phoneticPr fontId="3"/>
  </si>
  <si>
    <t>ｸﾞﾙｰﾌﾟﾎｰﾑ瑞穂乃国</t>
    <rPh sb="9" eb="10">
      <t>ノ</t>
    </rPh>
    <rPh sb="10" eb="11">
      <t>クニ</t>
    </rPh>
    <phoneticPr fontId="1"/>
  </si>
  <si>
    <t>日奈久大坪町828番地1</t>
    <rPh sb="0" eb="3">
      <t>ヒナグ</t>
    </rPh>
    <rPh sb="3" eb="6">
      <t>オオツボマチ</t>
    </rPh>
    <rPh sb="9" eb="11">
      <t>バンチ</t>
    </rPh>
    <phoneticPr fontId="1"/>
  </si>
  <si>
    <t>３８―３２００</t>
  </si>
  <si>
    <t>（福）八代日奈久北部福祉会</t>
  </si>
  <si>
    <t>ユニット情報</t>
    <rPh sb="4" eb="6">
      <t>ジョウホウ</t>
    </rPh>
    <phoneticPr fontId="3"/>
  </si>
  <si>
    <t>従来情報</t>
    <rPh sb="0" eb="2">
      <t>ジュウライ</t>
    </rPh>
    <rPh sb="2" eb="4">
      <t>ジョウホウ</t>
    </rPh>
    <phoneticPr fontId="3"/>
  </si>
  <si>
    <t>基準日</t>
    <rPh sb="0" eb="3">
      <t>キジュンビ</t>
    </rPh>
    <phoneticPr fontId="3"/>
  </si>
  <si>
    <t>八代市が指定する30人未満の介護老人福祉施設
寝たきりや認知症などによる自立した生活が難しい要介護者が、日常的な生活の介護から機能訓練、療養上の世話などを受ける。</t>
    <phoneticPr fontId="3"/>
  </si>
  <si>
    <t>八代市が指定がする30人未満の特定施設入居者生活介護。
有料老人ホームなどの「特定施設」で、定員２９人以下に入居している要介護者が介護や機能訓練などを受ける。
利用者の病状の急変に備え、医療機関を定め、看護職員と介護職員をそれぞれ１人以上常勤させることが義務付けられている。</t>
    <phoneticPr fontId="3"/>
  </si>
  <si>
    <t>認知症の高齢者が共同で生活できる場（住居）で食事、入浴などの介護や支援、機能訓練が受けられる。
要支援２以上でかつ認知症の方が対象。</t>
    <phoneticPr fontId="3"/>
  </si>
  <si>
    <t>29(通15泊5)</t>
    <rPh sb="3" eb="4">
      <t>ツウ</t>
    </rPh>
    <rPh sb="6" eb="7">
      <t>トマリ</t>
    </rPh>
    <phoneticPr fontId="1"/>
  </si>
  <si>
    <t>25(通15泊7)</t>
    <rPh sb="3" eb="4">
      <t>ツウ</t>
    </rPh>
    <rPh sb="6" eb="7">
      <t>トマリ</t>
    </rPh>
    <phoneticPr fontId="1"/>
  </si>
  <si>
    <t>24(通12泊7)</t>
    <rPh sb="3" eb="4">
      <t>ツウ</t>
    </rPh>
    <rPh sb="6" eb="7">
      <t>トマリ</t>
    </rPh>
    <phoneticPr fontId="1"/>
  </si>
  <si>
    <t>29(通15泊6)</t>
    <rPh sb="3" eb="4">
      <t>ツウ</t>
    </rPh>
    <rPh sb="6" eb="7">
      <t>トマリ</t>
    </rPh>
    <phoneticPr fontId="1"/>
  </si>
  <si>
    <t>29(通18泊9)</t>
    <rPh sb="3" eb="4">
      <t>ツウ</t>
    </rPh>
    <rPh sb="6" eb="7">
      <t>ハク</t>
    </rPh>
    <phoneticPr fontId="1"/>
  </si>
  <si>
    <t>29(通18泊6)</t>
    <rPh sb="3" eb="4">
      <t>ツウ</t>
    </rPh>
    <rPh sb="6" eb="7">
      <t>ハク</t>
    </rPh>
    <phoneticPr fontId="1"/>
  </si>
  <si>
    <t>29(通15泊9)</t>
    <rPh sb="3" eb="4">
      <t>ツウ</t>
    </rPh>
    <rPh sb="6" eb="7">
      <t>ハク</t>
    </rPh>
    <phoneticPr fontId="1"/>
  </si>
  <si>
    <t>25(通15泊9)</t>
    <rPh sb="3" eb="4">
      <t>ツウ</t>
    </rPh>
    <rPh sb="6" eb="7">
      <t>トマリ</t>
    </rPh>
    <phoneticPr fontId="1"/>
  </si>
  <si>
    <t>29(通18泊7)</t>
    <rPh sb="3" eb="4">
      <t>ツウ</t>
    </rPh>
    <rPh sb="6" eb="7">
      <t>トマリ</t>
    </rPh>
    <phoneticPr fontId="1"/>
  </si>
  <si>
    <t>（株）フォーハート熊本</t>
    <rPh sb="0" eb="3">
      <t>カブ</t>
    </rPh>
    <rPh sb="9" eb="11">
      <t>クマモト</t>
    </rPh>
    <phoneticPr fontId="1"/>
  </si>
  <si>
    <t>すずらんの杜特定施設</t>
  </si>
  <si>
    <t>３９－７６１１</t>
  </si>
  <si>
    <t>すずらん流荘</t>
  </si>
  <si>
    <t>３５－０１１６</t>
  </si>
  <si>
    <t>葭牟田町428</t>
    <phoneticPr fontId="3"/>
  </si>
  <si>
    <t>豊原下町4115</t>
    <phoneticPr fontId="3"/>
  </si>
  <si>
    <t>　</t>
    <phoneticPr fontId="3"/>
  </si>
  <si>
    <t>種別</t>
    <rPh sb="0" eb="2">
      <t>シュベツ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</si>
  <si>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</si>
  <si>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</si>
  <si>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登録者数</t>
    <rPh sb="0" eb="2">
      <t>トウロク</t>
    </rPh>
    <rPh sb="2" eb="3">
      <t>シャ</t>
    </rPh>
    <rPh sb="3" eb="4">
      <t>スウ</t>
    </rPh>
    <phoneticPr fontId="1"/>
  </si>
  <si>
    <t>入所者数</t>
    <rPh sb="0" eb="3">
      <t>ニュウショシャ</t>
    </rPh>
    <rPh sb="3" eb="4">
      <t>スウ</t>
    </rPh>
    <phoneticPr fontId="1"/>
  </si>
  <si>
    <t>待機者数</t>
    <rPh sb="0" eb="3">
      <t>タイキシャ</t>
    </rPh>
    <rPh sb="3" eb="4">
      <t>スウ</t>
    </rPh>
    <phoneticPr fontId="1"/>
  </si>
  <si>
    <t>特養</t>
    <rPh sb="0" eb="2">
      <t>トクヨウ</t>
    </rPh>
    <phoneticPr fontId="1"/>
  </si>
  <si>
    <t/>
  </si>
  <si>
    <t>地密特養</t>
    <rPh sb="0" eb="1">
      <t>チ</t>
    </rPh>
    <rPh sb="1" eb="2">
      <t>ミツ</t>
    </rPh>
    <rPh sb="2" eb="4">
      <t>トクヨウ</t>
    </rPh>
    <phoneticPr fontId="1"/>
  </si>
  <si>
    <t>希望</t>
    <rPh sb="0" eb="2">
      <t>キボウ</t>
    </rPh>
    <phoneticPr fontId="1"/>
  </si>
  <si>
    <t>八代草</t>
    <rPh sb="0" eb="2">
      <t>ヤツシロ</t>
    </rPh>
    <rPh sb="2" eb="3">
      <t>クサ</t>
    </rPh>
    <phoneticPr fontId="1"/>
  </si>
  <si>
    <t>キャッスル麦島</t>
    <rPh sb="5" eb="7">
      <t>ムギシマ</t>
    </rPh>
    <phoneticPr fontId="1"/>
  </si>
  <si>
    <t>サテライト　安寿の里</t>
    <rPh sb="6" eb="8">
      <t>アンジュ</t>
    </rPh>
    <rPh sb="9" eb="10">
      <t>サト</t>
    </rPh>
    <phoneticPr fontId="1"/>
  </si>
  <si>
    <t>あさひ園みやじ</t>
    <rPh sb="3" eb="4">
      <t>エン</t>
    </rPh>
    <phoneticPr fontId="1"/>
  </si>
  <si>
    <t>老健</t>
    <rPh sb="0" eb="2">
      <t>ロウケン</t>
    </rPh>
    <phoneticPr fontId="1"/>
  </si>
  <si>
    <t>皇寿園</t>
    <rPh sb="0" eb="1">
      <t>コウ</t>
    </rPh>
    <rPh sb="1" eb="2">
      <t>ジュ</t>
    </rPh>
    <rPh sb="2" eb="3">
      <t>エン</t>
    </rPh>
    <phoneticPr fontId="1"/>
  </si>
  <si>
    <t>向春苑</t>
    <rPh sb="0" eb="2">
      <t>コウシュン</t>
    </rPh>
    <rPh sb="2" eb="3">
      <t>エン</t>
    </rPh>
    <phoneticPr fontId="1"/>
  </si>
  <si>
    <t>リハリート桜十字八代</t>
    <rPh sb="5" eb="8">
      <t>サクラジュウジ</t>
    </rPh>
    <rPh sb="8" eb="10">
      <t>ヤツシロ</t>
    </rPh>
    <phoneticPr fontId="1"/>
  </si>
  <si>
    <t>ﾊﾋﾟﾈｽｹｱ日南</t>
    <rPh sb="7" eb="9">
      <t>ニチナン</t>
    </rPh>
    <phoneticPr fontId="1"/>
  </si>
  <si>
    <t>かがみ苑</t>
    <rPh sb="3" eb="4">
      <t>エン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</si>
  <si>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</si>
  <si>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八代敬仁病院介護医療院</t>
    <rPh sb="0" eb="2">
      <t>ヤツシロ</t>
    </rPh>
    <rPh sb="2" eb="3">
      <t>ケイ</t>
    </rPh>
    <rPh sb="3" eb="4">
      <t>ジン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1"/>
  </si>
  <si>
    <t>平成病院</t>
    <rPh sb="0" eb="2">
      <t>ヘイセイ</t>
    </rPh>
    <rPh sb="2" eb="4">
      <t>ビョウイン</t>
    </rPh>
    <phoneticPr fontId="1"/>
  </si>
  <si>
    <t>特定施設</t>
    <rPh sb="0" eb="2">
      <t>トクテイ</t>
    </rPh>
    <rPh sb="2" eb="4">
      <t>シセツ</t>
    </rPh>
    <phoneticPr fontId="1"/>
  </si>
  <si>
    <t>特定施設</t>
    <rPh sb="0" eb="4">
      <t>トクテイシセツ</t>
    </rPh>
    <phoneticPr fontId="1"/>
  </si>
  <si>
    <t>すずらんの杜特定施設</t>
    <rPh sb="5" eb="6">
      <t>モリ</t>
    </rPh>
    <rPh sb="6" eb="8">
      <t>トクテイ</t>
    </rPh>
    <rPh sb="8" eb="10">
      <t>シセツ</t>
    </rPh>
    <phoneticPr fontId="1"/>
  </si>
  <si>
    <t>すずらん流荘</t>
    <rPh sb="4" eb="6">
      <t>リュウソウ</t>
    </rPh>
    <phoneticPr fontId="1"/>
  </si>
  <si>
    <t>地密特定</t>
    <rPh sb="0" eb="1">
      <t>チ</t>
    </rPh>
    <rPh sb="1" eb="2">
      <t>ミツ</t>
    </rPh>
    <rPh sb="2" eb="4">
      <t>トクテイ</t>
    </rPh>
    <phoneticPr fontId="1"/>
  </si>
  <si>
    <t>グッドライフ本町</t>
    <rPh sb="6" eb="8">
      <t>ホンマチ</t>
    </rPh>
    <phoneticPr fontId="1"/>
  </si>
  <si>
    <t>GH</t>
  </si>
  <si>
    <t>ｸﾞﾙｰﾌﾟﾎｰﾑま心</t>
    <rPh sb="10" eb="11">
      <t>ココロ</t>
    </rPh>
    <phoneticPr fontId="1"/>
  </si>
  <si>
    <t>ｸﾞﾙｰﾌﾟﾎｰﾑ清陽</t>
    <rPh sb="9" eb="10">
      <t>セイ</t>
    </rPh>
    <rPh sb="10" eb="11">
      <t>ヨウ</t>
    </rPh>
    <phoneticPr fontId="1"/>
  </si>
  <si>
    <t>ｸﾞﾙｰﾌﾟﾎｰﾑ神苑</t>
    <rPh sb="9" eb="11">
      <t>シンエン</t>
    </rPh>
    <phoneticPr fontId="1"/>
  </si>
  <si>
    <t>ｸﾞﾙｰﾌﾟﾎｰﾑ氷川</t>
    <rPh sb="9" eb="11">
      <t>ヒカワ</t>
    </rPh>
    <phoneticPr fontId="1"/>
  </si>
  <si>
    <t>ｸﾞﾙｰﾌﾟﾎｰﾑうやなぎの杜</t>
    <rPh sb="14" eb="15">
      <t>モリ</t>
    </rPh>
    <phoneticPr fontId="1"/>
  </si>
  <si>
    <t>ｸﾞﾙｰﾌﾟﾎｰﾑ八代のぞみ</t>
    <rPh sb="9" eb="11">
      <t>ヤツシロ</t>
    </rPh>
    <phoneticPr fontId="1"/>
  </si>
  <si>
    <t>―</t>
  </si>
  <si>
    <t>ｸﾞﾙｰﾌﾟﾎｰﾑ福寿荘</t>
    <rPh sb="9" eb="11">
      <t>フクジュ</t>
    </rPh>
    <rPh sb="11" eb="12">
      <t>ソウ</t>
    </rPh>
    <phoneticPr fontId="1"/>
  </si>
  <si>
    <t>ｸﾞﾙｰﾌﾟﾎｰﾑきずなの郷</t>
    <rPh sb="13" eb="14">
      <t>サト</t>
    </rPh>
    <phoneticPr fontId="1"/>
  </si>
  <si>
    <t>ｸﾞﾙｰﾌﾟﾎｰﾑだいふくの杜</t>
    <rPh sb="14" eb="15">
      <t>モリ</t>
    </rPh>
    <phoneticPr fontId="1"/>
  </si>
  <si>
    <t>ｸﾞﾙｰﾌﾟﾎｰﾑ清陽「すえひろ」</t>
    <rPh sb="9" eb="10">
      <t>セイ</t>
    </rPh>
    <rPh sb="10" eb="11">
      <t>ヨウ</t>
    </rPh>
    <phoneticPr fontId="1"/>
  </si>
  <si>
    <t>ｸﾞﾙｰﾌﾟﾎｰﾑ｢ｸﾞﾘｰﾝｺｰﾌﾟほのか・八代」</t>
    <rPh sb="23" eb="25">
      <t>ヤツシロ</t>
    </rPh>
    <phoneticPr fontId="1"/>
  </si>
  <si>
    <t>ｸﾞﾙｰﾌﾟﾎｰﾑ清流</t>
    <rPh sb="9" eb="10">
      <t>セイ</t>
    </rPh>
    <rPh sb="10" eb="11">
      <t>リュウ</t>
    </rPh>
    <phoneticPr fontId="1"/>
  </si>
  <si>
    <t>ｸﾞﾙｰﾌﾟﾎｰﾑしあわせの里</t>
    <rPh sb="14" eb="15">
      <t>サト</t>
    </rPh>
    <phoneticPr fontId="1"/>
  </si>
  <si>
    <t>ｸﾞﾙｰﾌﾟﾎｰﾑ清風</t>
    <rPh sb="9" eb="10">
      <t>セイ</t>
    </rPh>
    <rPh sb="10" eb="11">
      <t>カゼ</t>
    </rPh>
    <phoneticPr fontId="1"/>
  </si>
  <si>
    <t>ｸﾞﾙｰﾌﾟﾎｰﾑ清花</t>
    <rPh sb="9" eb="10">
      <t>セイ</t>
    </rPh>
    <rPh sb="10" eb="11">
      <t>ハナ</t>
    </rPh>
    <phoneticPr fontId="1"/>
  </si>
  <si>
    <t>瑞穂乃國</t>
    <rPh sb="0" eb="2">
      <t>ミズホ</t>
    </rPh>
    <rPh sb="2" eb="3">
      <t>ノ</t>
    </rPh>
    <rPh sb="3" eb="4">
      <t>クニ</t>
    </rPh>
    <phoneticPr fontId="1"/>
  </si>
  <si>
    <t>小多機</t>
    <rPh sb="0" eb="1">
      <t>ショウ</t>
    </rPh>
    <rPh sb="1" eb="2">
      <t>タ</t>
    </rPh>
    <rPh sb="2" eb="3">
      <t>キ</t>
    </rPh>
    <phoneticPr fontId="1"/>
  </si>
  <si>
    <t>憩いの家　楽しみ</t>
    <rPh sb="0" eb="1">
      <t>イコ</t>
    </rPh>
    <rPh sb="3" eb="4">
      <t>イエ</t>
    </rPh>
    <rPh sb="5" eb="6">
      <t>タノ</t>
    </rPh>
    <phoneticPr fontId="1"/>
  </si>
  <si>
    <t>木もれびの家</t>
    <rPh sb="0" eb="1">
      <t>キ</t>
    </rPh>
    <rPh sb="5" eb="6">
      <t>イエ</t>
    </rPh>
    <phoneticPr fontId="1"/>
  </si>
  <si>
    <t>なごみの広場</t>
    <rPh sb="4" eb="6">
      <t>ヒロバ</t>
    </rPh>
    <phoneticPr fontId="1"/>
  </si>
  <si>
    <t>小規模多機能ホームこうだ</t>
    <rPh sb="0" eb="3">
      <t>ショウキボ</t>
    </rPh>
    <rPh sb="3" eb="6">
      <t>タキノウ</t>
    </rPh>
    <phoneticPr fontId="1"/>
  </si>
  <si>
    <t>桃の花</t>
    <rPh sb="0" eb="1">
      <t>モモ</t>
    </rPh>
    <rPh sb="2" eb="3">
      <t>ハナ</t>
    </rPh>
    <phoneticPr fontId="1"/>
  </si>
  <si>
    <t>小規模多機能型居宅介護　紗綾（休止中）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サ</t>
    </rPh>
    <rPh sb="13" eb="14">
      <t>アヤ</t>
    </rPh>
    <rPh sb="15" eb="18">
      <t>キュウシチュウ</t>
    </rPh>
    <phoneticPr fontId="1"/>
  </si>
  <si>
    <t>小規模多機能ホーム　ブロッサムⅡ</t>
    <rPh sb="0" eb="6">
      <t>ショウキボタキノウ</t>
    </rPh>
    <phoneticPr fontId="1"/>
  </si>
  <si>
    <t>看多機</t>
    <rPh sb="0" eb="1">
      <t>カン</t>
    </rPh>
    <rPh sb="1" eb="2">
      <t>タ</t>
    </rPh>
    <rPh sb="2" eb="3">
      <t>キ</t>
    </rPh>
    <phoneticPr fontId="1"/>
  </si>
  <si>
    <t>複合型サービス西王母</t>
    <rPh sb="0" eb="3">
      <t>フクゴウガタ</t>
    </rPh>
    <rPh sb="7" eb="8">
      <t>ニシ</t>
    </rPh>
    <rPh sb="8" eb="9">
      <t>オウ</t>
    </rPh>
    <rPh sb="9" eb="10">
      <t>ハハ</t>
    </rPh>
    <phoneticPr fontId="1"/>
  </si>
  <si>
    <t>セントケア看護小規模八代</t>
    <rPh sb="5" eb="7">
      <t>カンゴ</t>
    </rPh>
    <rPh sb="7" eb="10">
      <t>ショウキボ</t>
    </rPh>
    <rPh sb="10" eb="12">
      <t>ヤツシロ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</si>
</sst>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" fillId="3" borderId="0" xfId="0" applyFont="1" applyFill="1" applyAlignment="1">
      <alignment horizontal="center" vertical="center"/>
    </xf>
    <xf numFmtId="0" fontId="13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0" xfId="0" applyAlignment="1"/>
    <xf numFmtId="0" fontId="10" fillId="0" borderId="11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2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>
      <alignment vertical="center"/>
    </xf>
    <xf numFmtId="0" fontId="16" fillId="4" borderId="0" xfId="0" applyFont="1" applyFill="1" applyAlignment="1">
      <alignment horizontal="centerContinuous" vertical="center"/>
    </xf>
    <xf numFmtId="0" fontId="0" fillId="5" borderId="2" xfId="0" applyFill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76" fontId="0" fillId="0" borderId="0" xfId="0" applyNumberFormat="1">
      <alignment vertical="center"/>
    </xf>
    <xf numFmtId="0" fontId="5" fillId="0" borderId="0" xfId="0" applyFont="1" applyAlignment="1"/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wrapText="1"/>
    </xf>
    <xf numFmtId="0" fontId="0" fillId="0" borderId="8" xfId="0" applyBorder="1" applyAlignment="1"/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0" fontId="0" fillId="5" borderId="2" xfId="0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J$3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</xdr:row>
          <xdr:rowOff>99060</xdr:rowOff>
        </xdr:from>
        <xdr:to>
          <xdr:col>1</xdr:col>
          <xdr:colOff>38100</xdr:colOff>
          <xdr:row>2</xdr:row>
          <xdr:rowOff>274320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2</xdr:row>
          <xdr:rowOff>99060</xdr:rowOff>
        </xdr:from>
        <xdr:to>
          <xdr:col>1</xdr:col>
          <xdr:colOff>3002280</xdr:colOff>
          <xdr:row>2</xdr:row>
          <xdr:rowOff>274320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2</xdr:row>
          <xdr:rowOff>83820</xdr:rowOff>
        </xdr:from>
        <xdr:to>
          <xdr:col>4</xdr:col>
          <xdr:colOff>182880</xdr:colOff>
          <xdr:row>2</xdr:row>
          <xdr:rowOff>266700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3</xdr:row>
          <xdr:rowOff>83820</xdr:rowOff>
        </xdr:from>
        <xdr:to>
          <xdr:col>1</xdr:col>
          <xdr:colOff>38100</xdr:colOff>
          <xdr:row>3</xdr:row>
          <xdr:rowOff>266700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3</xdr:row>
          <xdr:rowOff>83820</xdr:rowOff>
        </xdr:from>
        <xdr:to>
          <xdr:col>1</xdr:col>
          <xdr:colOff>3040380</xdr:colOff>
          <xdr:row>3</xdr:row>
          <xdr:rowOff>266700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3</xdr:row>
          <xdr:rowOff>83820</xdr:rowOff>
        </xdr:from>
        <xdr:to>
          <xdr:col>4</xdr:col>
          <xdr:colOff>182880</xdr:colOff>
          <xdr:row>3</xdr:row>
          <xdr:rowOff>266700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975360</xdr:colOff>
          <xdr:row>1</xdr:row>
          <xdr:rowOff>106680</xdr:rowOff>
        </xdr:from>
        <xdr:to>
          <xdr:col>4</xdr:col>
          <xdr:colOff>182880</xdr:colOff>
          <xdr:row>2</xdr:row>
          <xdr:rowOff>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2819400</xdr:colOff>
          <xdr:row>1</xdr:row>
          <xdr:rowOff>83820</xdr:rowOff>
        </xdr:from>
        <xdr:to>
          <xdr:col>1</xdr:col>
          <xdr:colOff>3040380</xdr:colOff>
          <xdr:row>1</xdr:row>
          <xdr:rowOff>266700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1</xdr:row>
          <xdr:rowOff>83820</xdr:rowOff>
        </xdr:from>
        <xdr:to>
          <xdr:col>1</xdr:col>
          <xdr:colOff>38100</xdr:colOff>
          <xdr:row>1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FFFF" mc:Ignorable="a14" a14:legacySpreadsheetColorIndex="1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0</xdr:row>
          <xdr:rowOff>0</xdr:rowOff>
        </xdr:from>
        <xdr:to>
          <xdr:col>5</xdr:col>
          <xdr:colOff>845820</xdr:colOff>
          <xdr:row>1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7E46-B141-4E5C-96EE-12E30EEBE898}">
  <sheetPr>
    <pageSetUpPr fitToPage="1"/>
  </sheetPr>
  <dimension ref="A1:K36"/>
  <sheetViews>
    <sheetView tabSelected="1" workbookViewId="0">
      <pane ySplit="8" topLeftCell="A9" activePane="bottomLeft" state="frozen"/>
      <selection pane="bottomLeft" activeCell="H15" sqref="H15"/>
    </sheetView>
  </sheetViews>
  <sheetFormatPr defaultRowHeight="18" x14ac:dyDescent="0.45"/>
  <cols>
    <col min="1" max="1" width="3.5" bestFit="1" customWidth="1"/>
    <col min="2" max="2" width="40.69921875" customWidth="1"/>
    <col min="3" max="3" width="24.5" customWidth="1"/>
    <col min="4" max="4" width="13.19921875" customWidth="1"/>
    <col min="5" max="7" width="11.19921875" customWidth="1"/>
    <col min="8" max="8" width="9.69921875" customWidth="1"/>
    <col min="9" max="9" width="11.59765625" customWidth="1"/>
    <col min="10" max="10" width="16.59765625" hidden="1" customWidth="1"/>
    <col min="11" max="11" width="16.5" hidden="1" customWidth="1"/>
    <col min="12" max="12" width="9" customWidth="1"/>
  </cols>
  <sheetData>
    <row r="1" spans="1:11" ht="21.6" x14ac:dyDescent="0.45">
      <c r="A1" s="21" t="s">
        <v>257</v>
      </c>
      <c r="B1" s="21"/>
      <c r="C1" s="21"/>
      <c r="D1" s="21"/>
      <c r="E1" s="21"/>
      <c r="F1" s="21"/>
      <c r="G1" s="21"/>
      <c r="H1" s="21"/>
    </row>
    <row r="2" spans="1:11" ht="22.5" customHeight="1" x14ac:dyDescent="0.45">
      <c r="A2" s="8"/>
      <c r="B2" s="17" t="s">
        <v>252</v>
      </c>
      <c r="C2" s="47" t="s">
        <v>253</v>
      </c>
      <c r="D2" s="47"/>
      <c r="E2" s="18" t="s">
        <v>246</v>
      </c>
      <c r="F2" s="19"/>
      <c r="G2" s="19"/>
      <c r="H2" s="19"/>
    </row>
    <row r="3" spans="1:11" ht="22.5" customHeight="1" x14ac:dyDescent="0.45">
      <c r="A3" s="8"/>
      <c r="B3" s="17" t="s">
        <v>247</v>
      </c>
      <c r="C3" s="47" t="s">
        <v>248</v>
      </c>
      <c r="D3" s="47"/>
      <c r="E3" s="18" t="s">
        <v>249</v>
      </c>
      <c r="F3" s="20"/>
      <c r="G3" s="19"/>
      <c r="H3" s="19"/>
      <c r="J3" s="10">
        <v>10</v>
      </c>
      <c r="K3" s="9" t="str">
        <f>IF(OR(ISBLANK(J3),J3=10),"",VLOOKUP(J3,サービスの種類,2,FALSE))</f>
        <v/>
      </c>
    </row>
    <row r="4" spans="1:11" ht="22.5" customHeight="1" x14ac:dyDescent="0.45">
      <c r="A4" s="8"/>
      <c r="B4" s="17" t="s">
        <v>250</v>
      </c>
      <c r="C4" s="47" t="s">
        <v>251</v>
      </c>
      <c r="D4" s="47"/>
      <c r="E4" s="18" t="s">
        <v>254</v>
      </c>
      <c r="F4" s="19"/>
      <c r="G4" s="19"/>
      <c r="H4" s="19"/>
    </row>
    <row r="5" spans="1:11" x14ac:dyDescent="0.45">
      <c r="A5" s="46" t="s">
        <v>39</v>
      </c>
      <c r="B5" s="46"/>
      <c r="C5" s="46"/>
      <c r="D5" s="46"/>
      <c r="E5" s="46"/>
      <c r="F5" s="46"/>
      <c r="G5" s="2"/>
      <c r="H5" s="2"/>
    </row>
    <row r="6" spans="1:11" ht="24" customHeight="1" x14ac:dyDescent="0.2">
      <c r="A6" s="48" t="str">
        <f ca="1">IF(ISERROR(INDEX(INDIRECT($K$3),1,1)),"",INDEX(INDIRECT($K$3),1,1))</f>
        <v/>
      </c>
      <c r="B6" s="48"/>
      <c r="C6" s="48"/>
      <c r="D6" s="49" t="str">
        <f>IF(OR(ISBLANK(J3),J3=10),"",IF(OR(J3=8,J3=9),"※登録者数は","※入所者数、待機者数は")&amp;TEXT(データ貼付けシート!I3,"ge.m.d")&amp;"現在の数値です。")</f>
        <v/>
      </c>
      <c r="E6" s="49"/>
      <c r="F6" s="49"/>
      <c r="G6" s="49"/>
      <c r="H6" s="26"/>
    </row>
    <row r="7" spans="1:11" ht="49.5" customHeight="1" x14ac:dyDescent="0.45">
      <c r="A7" s="3"/>
      <c r="B7" s="45" t="str">
        <f ca="1">IF(ISERROR(INDEX(INDIRECT($K$3),2,1)),"",INDEX(INDIRECT($K$3),2,1))</f>
        <v/>
      </c>
      <c r="C7" s="45"/>
      <c r="D7" s="45"/>
      <c r="E7" s="45"/>
      <c r="F7" s="45"/>
      <c r="G7" s="45"/>
      <c r="H7" s="23"/>
    </row>
    <row r="8" spans="1:11" x14ac:dyDescent="0.45">
      <c r="A8" s="4"/>
      <c r="B8" s="5" t="s">
        <v>40</v>
      </c>
      <c r="C8" s="5" t="s">
        <v>41</v>
      </c>
      <c r="D8" s="5" t="s">
        <v>42</v>
      </c>
      <c r="E8" s="5" t="s">
        <v>44</v>
      </c>
      <c r="F8" s="5" t="str">
        <f>IF(OR(K3="小規模多機能型居宅介護",K3="複合型サービス"),"現登録者数","現入所者数")</f>
        <v>現入所者数</v>
      </c>
      <c r="G8" s="16" t="str">
        <f>IF(OR(K3="小規模多機能型居宅介護",K3="複合型サービス"),"","入所待機者数")</f>
        <v>入所待機者数</v>
      </c>
    </row>
    <row r="9" spans="1:11" x14ac:dyDescent="0.45">
      <c r="A9" s="6" t="str">
        <f ca="1">IF(ISERROR(INDEX(INDIRECT($K$3),3,1)),"",INDEX(INDIRECT($K$3),3,1))</f>
        <v/>
      </c>
      <c r="B9" s="7" t="str">
        <f ca="1">IF(ISERROR(INDEX(INDIRECT($K$3),3,2)),"",INDEX(INDIRECT($K$3),3,2))</f>
        <v/>
      </c>
      <c r="C9" s="7" t="str">
        <f ca="1">IF(ISERROR(INDEX(INDIRECT($K$3),3,3)),"",INDEX(INDIRECT($K$3),3,3))</f>
        <v/>
      </c>
      <c r="D9" s="7" t="str">
        <f ca="1">IF(ISERROR(INDEX(INDIRECT($K$3),3,4)),"",INDEX(INDIRECT($K$3),3,4))</f>
        <v/>
      </c>
      <c r="E9" s="7" t="str">
        <f ca="1">IF(ISERROR(INDEX(INDIRECT($K$3),3,6)),"",INDEX(INDIRECT($K$3),3,6))</f>
        <v/>
      </c>
      <c r="F9" s="7" t="str">
        <f ca="1">IF(ISERROR(INDEX(INDIRECT($K$3),3,7)),"",INDEX(INDIRECT($K$3),3,7))</f>
        <v/>
      </c>
      <c r="G9" s="7" t="str">
        <f ca="1">IF(ISERROR(INDEX(INDIRECT($K$3),3,8)),"",INDEX(INDIRECT($K$3),3,8))</f>
        <v/>
      </c>
    </row>
    <row r="10" spans="1:11" x14ac:dyDescent="0.45">
      <c r="A10" s="6" t="str">
        <f ca="1">IF(ISERROR(INDEX(INDIRECT($K$3),4,1)),"",INDEX(INDIRECT($K$3),4,1))</f>
        <v/>
      </c>
      <c r="B10" s="7" t="str">
        <f ca="1">IF(ISERROR(INDEX(INDIRECT($K$3),4,2)),"",INDEX(INDIRECT($K$3),4,2))</f>
        <v/>
      </c>
      <c r="C10" s="7" t="str">
        <f ca="1">IF(ISERROR(INDEX(INDIRECT($K$3),4,3)),"",INDEX(INDIRECT($K$3),4,3))</f>
        <v/>
      </c>
      <c r="D10" s="7" t="str">
        <f ca="1">IF(ISERROR(INDEX(INDIRECT($K$3),4,4)),"",INDEX(INDIRECT($K$3),4,4))</f>
        <v/>
      </c>
      <c r="E10" s="7" t="str">
        <f ca="1">IF(ISERROR(INDEX(INDIRECT($K$3),4,6)),"",INDEX(INDIRECT($K$3),4,6))</f>
        <v/>
      </c>
      <c r="F10" s="7" t="str">
        <f ca="1">IF(ISERROR(INDEX(INDIRECT($K$3),4,7)),"",INDEX(INDIRECT($K$3),4,7))</f>
        <v/>
      </c>
      <c r="G10" s="7" t="str">
        <f ca="1">IF(ISERROR(INDEX(INDIRECT($K$3),4,8)),"",INDEX(INDIRECT($K$3),4,8))</f>
        <v/>
      </c>
    </row>
    <row r="11" spans="1:11" x14ac:dyDescent="0.45">
      <c r="A11" s="6" t="str">
        <f ca="1">IF(ISERROR(INDEX(INDIRECT($K$3),5,1)),"",INDEX(INDIRECT($K$3),5,1))</f>
        <v/>
      </c>
      <c r="B11" s="7" t="str">
        <f ca="1">IF(ISERROR(INDEX(INDIRECT($K$3),5,2)),"",INDEX(INDIRECT($K$3),5,2))</f>
        <v/>
      </c>
      <c r="C11" s="7" t="str">
        <f ca="1">IF(ISERROR(INDEX(INDIRECT($K$3),5,3)),"",INDEX(INDIRECT($K$3),5,3))</f>
        <v/>
      </c>
      <c r="D11" s="7" t="str">
        <f ca="1">IF(ISERROR(INDEX(INDIRECT($K$3),5,4)),"",INDEX(INDIRECT($K$3),5,4))</f>
        <v/>
      </c>
      <c r="E11" s="7" t="str">
        <f ca="1">IF(ISERROR(INDEX(INDIRECT($K$3),5,6)),"",INDEX(INDIRECT($K$3),5,6))</f>
        <v/>
      </c>
      <c r="F11" s="7" t="str">
        <f ca="1">IF(ISERROR(INDEX(INDIRECT($K$3),5,7)),"",INDEX(INDIRECT($K$3),5,7))</f>
        <v/>
      </c>
      <c r="G11" s="7" t="str">
        <f ca="1">IF(ISERROR(INDEX(INDIRECT($K$3),5,8)),"",INDEX(INDIRECT($K$3),5,8))</f>
        <v/>
      </c>
    </row>
    <row r="12" spans="1:11" x14ac:dyDescent="0.45">
      <c r="A12" s="6" t="str">
        <f ca="1">IF(ISERROR(INDEX(INDIRECT($K$3),6,1)),"",INDEX(INDIRECT($K$3),6,1))</f>
        <v/>
      </c>
      <c r="B12" s="7" t="str">
        <f ca="1">IF(ISERROR(INDEX(INDIRECT($K$3),6,2)),"",INDEX(INDIRECT($K$3),6,2))</f>
        <v/>
      </c>
      <c r="C12" s="7" t="str">
        <f ca="1">IF(ISERROR(INDEX(INDIRECT($K$3),6,3)),"",INDEX(INDIRECT($K$3),6,3))</f>
        <v/>
      </c>
      <c r="D12" s="7" t="str">
        <f ca="1">IF(ISERROR(INDEX(INDIRECT($K$3),6,4)),"",INDEX(INDIRECT($K$3),6,4))</f>
        <v/>
      </c>
      <c r="E12" s="7" t="str">
        <f ca="1">IF(ISERROR(INDEX(INDIRECT($K$3),6,6)),"",INDEX(INDIRECT($K$3),6,6))</f>
        <v/>
      </c>
      <c r="F12" s="7" t="str">
        <f ca="1">IF(ISERROR(INDEX(INDIRECT($K$3),6,7)),"",INDEX(INDIRECT($K$3),6,7))</f>
        <v/>
      </c>
      <c r="G12" s="7" t="str">
        <f ca="1">IF(ISERROR(INDEX(INDIRECT($K$3),6,8)),"",INDEX(INDIRECT($K$3),6,8))</f>
        <v/>
      </c>
    </row>
    <row r="13" spans="1:11" x14ac:dyDescent="0.45">
      <c r="A13" s="6" t="str">
        <f ca="1">IF(ISERROR(INDEX(INDIRECT($K$3),7,1)),"",INDEX(INDIRECT($K$3),7,1))</f>
        <v/>
      </c>
      <c r="B13" s="7" t="str">
        <f ca="1">IF(ISERROR(INDEX(INDIRECT($K$3),7,2)),"",INDEX(INDIRECT($K$3),7,2))</f>
        <v/>
      </c>
      <c r="C13" s="7" t="str">
        <f ca="1">IF(ISERROR(INDEX(INDIRECT($K$3),7,3)),"",INDEX(INDIRECT($K$3),7,3))</f>
        <v/>
      </c>
      <c r="D13" s="7" t="str">
        <f ca="1">IF(ISERROR(INDEX(INDIRECT($K$3),7,4)),"",INDEX(INDIRECT($K$3),7,4))</f>
        <v/>
      </c>
      <c r="E13" s="7" t="str">
        <f ca="1">IF(ISERROR(INDEX(INDIRECT($K$3),7,6)),"",INDEX(INDIRECT($K$3),7,6))</f>
        <v/>
      </c>
      <c r="F13" s="7" t="str">
        <f ca="1">IF(ISERROR(INDEX(INDIRECT($K$3),7,7)),"",INDEX(INDIRECT($K$3),7,7))</f>
        <v/>
      </c>
      <c r="G13" s="7" t="str">
        <f ca="1">IF(ISERROR(INDEX(INDIRECT($K$3),7,8)),"",INDEX(INDIRECT($K$3),7,8))</f>
        <v/>
      </c>
    </row>
    <row r="14" spans="1:11" x14ac:dyDescent="0.45">
      <c r="A14" s="6" t="str">
        <f ca="1">IF(ISERROR(INDEX(INDIRECT($K$3),8,1)),"",INDEX(INDIRECT($K$3),8,1))</f>
        <v/>
      </c>
      <c r="B14" s="7" t="str">
        <f ca="1">IF(ISERROR(INDEX(INDIRECT($K$3),8,2)),"",INDEX(INDIRECT($K$3),8,2))</f>
        <v/>
      </c>
      <c r="C14" s="7" t="str">
        <f ca="1">IF(ISERROR(INDEX(INDIRECT($K$3),8,3)),"",INDEX(INDIRECT($K$3),8,3))</f>
        <v/>
      </c>
      <c r="D14" s="7" t="str">
        <f ca="1">IF(ISERROR(INDEX(INDIRECT($K$3),8,4)),"",INDEX(INDIRECT($K$3),8,4))</f>
        <v/>
      </c>
      <c r="E14" s="7" t="str">
        <f ca="1">IF(ISERROR(INDEX(INDIRECT($K$3),8,6)),"",INDEX(INDIRECT($K$3),8,6))</f>
        <v/>
      </c>
      <c r="F14" s="7" t="str">
        <f ca="1">IF(ISERROR(INDEX(INDIRECT($K$3),8,7)),"",INDEX(INDIRECT($K$3),8,7))</f>
        <v/>
      </c>
      <c r="G14" s="7" t="str">
        <f ca="1">IF(ISERROR(INDEX(INDIRECT($K$3),8,8)),"",INDEX(INDIRECT($K$3),8,8))</f>
        <v/>
      </c>
    </row>
    <row r="15" spans="1:11" x14ac:dyDescent="0.45">
      <c r="A15" s="6" t="str">
        <f ca="1">IF(ISERROR(INDEX(INDIRECT($K$3),9,1)),"",INDEX(INDIRECT($K$3),9,1))</f>
        <v/>
      </c>
      <c r="B15" s="7" t="str">
        <f ca="1">IF(ISERROR(INDEX(INDIRECT($K$3),9,2)),"",INDEX(INDIRECT($K$3),9,2))</f>
        <v/>
      </c>
      <c r="C15" s="7" t="str">
        <f ca="1">IF(ISERROR(INDEX(INDIRECT($K$3),9,3)),"",INDEX(INDIRECT($K$3),9,3))</f>
        <v/>
      </c>
      <c r="D15" s="7" t="str">
        <f ca="1">IF(ISERROR(INDEX(INDIRECT($K$3),9,4)),"",INDEX(INDIRECT($K$3),9,4))</f>
        <v/>
      </c>
      <c r="E15" s="7" t="str">
        <f ca="1">IF(ISERROR(INDEX(INDIRECT($K$3),9,6)),"",INDEX(INDIRECT($K$3),9,6))</f>
        <v/>
      </c>
      <c r="F15" s="7" t="str">
        <f ca="1">IF(ISERROR(INDEX(INDIRECT($K$3),9,7)),"",INDEX(INDIRECT($K$3),9,7))</f>
        <v/>
      </c>
      <c r="G15" s="7" t="str">
        <f ca="1">IF(ISERROR(INDEX(INDIRECT($K$3),9,8)),"",INDEX(INDIRECT($K$3),9,8))</f>
        <v/>
      </c>
    </row>
    <row r="16" spans="1:11" x14ac:dyDescent="0.45">
      <c r="A16" s="6" t="str">
        <f ca="1">IF(ISERROR(INDEX(INDIRECT($K$3),10,1)),"",INDEX(INDIRECT($K$3),10,1))</f>
        <v/>
      </c>
      <c r="B16" s="7" t="str">
        <f ca="1">IF(ISERROR(INDEX(INDIRECT($K$3),10,2)),"",INDEX(INDIRECT($K$3),10,2))</f>
        <v/>
      </c>
      <c r="C16" s="7" t="str">
        <f ca="1">IF(ISERROR(INDEX(INDIRECT($K$3),10,3)),"",INDEX(INDIRECT($K$3),10,3))</f>
        <v/>
      </c>
      <c r="D16" s="7" t="str">
        <f ca="1">IF(ISERROR(INDEX(INDIRECT($K$3),10,4)),"",INDEX(INDIRECT($K$3),10,4))</f>
        <v/>
      </c>
      <c r="E16" s="7" t="str">
        <f ca="1">IF(ISERROR(INDEX(INDIRECT($K$3),10,6)),"",INDEX(INDIRECT($K$3),10,6))</f>
        <v/>
      </c>
      <c r="F16" s="7" t="str">
        <f ca="1">IF(ISERROR(INDEX(INDIRECT($K$3),10,7)),"",INDEX(INDIRECT($K$3),10,7))</f>
        <v/>
      </c>
      <c r="G16" s="7" t="str">
        <f ca="1">IF(ISERROR(INDEX(INDIRECT($K$3),10,8)),"",INDEX(INDIRECT($K$3),10,8))</f>
        <v/>
      </c>
    </row>
    <row r="17" spans="1:8" x14ac:dyDescent="0.45">
      <c r="A17" s="6" t="str">
        <f ca="1">IF(ISERROR(INDEX(INDIRECT($K$3),11,1)),"",INDEX(INDIRECT($K$3),11,1))</f>
        <v/>
      </c>
      <c r="B17" s="7" t="str">
        <f ca="1">IF(ISERROR(INDEX(INDIRECT($K$3),11,2)),"",INDEX(INDIRECT($K$3),11,2))</f>
        <v/>
      </c>
      <c r="C17" s="7" t="str">
        <f ca="1">IF(ISERROR(INDEX(INDIRECT($K$3),11,3)),"",INDEX(INDIRECT($K$3),11,3))</f>
        <v/>
      </c>
      <c r="D17" s="7" t="str">
        <f ca="1">IF(ISERROR(INDEX(INDIRECT($K$3),11,4)),"",INDEX(INDIRECT($K$3),11,4))</f>
        <v/>
      </c>
      <c r="E17" s="7" t="str">
        <f ca="1">IF(ISERROR(INDEX(INDIRECT($K$3),11,6)),"",INDEX(INDIRECT($K$3),11,6))</f>
        <v/>
      </c>
      <c r="F17" s="7" t="str">
        <f ca="1">IF(ISERROR(INDEX(INDIRECT($K$3),11,7)),"",INDEX(INDIRECT($K$3),11,7))</f>
        <v/>
      </c>
      <c r="G17" s="7" t="str">
        <f ca="1">IF(ISERROR(INDEX(INDIRECT($K$3),11,8)),"",INDEX(INDIRECT($K$3),11,8))</f>
        <v/>
      </c>
    </row>
    <row r="18" spans="1:8" x14ac:dyDescent="0.45">
      <c r="A18" s="6" t="str">
        <f ca="1">IF(ISERROR(INDEX(INDIRECT($K$3),12,1)),"",INDEX(INDIRECT($K$3),12,1))</f>
        <v/>
      </c>
      <c r="B18" s="7" t="str">
        <f ca="1">IF(ISERROR(INDEX(INDIRECT($K$3),12,2)),"",INDEX(INDIRECT($K$3),12,2))</f>
        <v/>
      </c>
      <c r="C18" s="7" t="str">
        <f ca="1">IF(ISERROR(INDEX(INDIRECT($K$3),12,3)),"",INDEX(INDIRECT($K$3),12,3))</f>
        <v/>
      </c>
      <c r="D18" s="7" t="str">
        <f ca="1">IF(ISERROR(INDEX(INDIRECT($K$3),12,4)),"",INDEX(INDIRECT($K$3),12,4))</f>
        <v/>
      </c>
      <c r="E18" s="7" t="str">
        <f ca="1">IF(ISERROR(INDEX(INDIRECT($K$3),12,6)),"",INDEX(INDIRECT($K$3),12,6))</f>
        <v/>
      </c>
      <c r="F18" s="7" t="str">
        <f ca="1">IF(ISERROR(INDEX(INDIRECT($K$3),12,7)),"",INDEX(INDIRECT($K$3),12,7))</f>
        <v/>
      </c>
      <c r="G18" s="7" t="str">
        <f ca="1">IF(ISERROR(INDEX(INDIRECT($K$3),12,8)),"",INDEX(INDIRECT($K$3),12,8))</f>
        <v/>
      </c>
    </row>
    <row r="19" spans="1:8" x14ac:dyDescent="0.45">
      <c r="A19" s="6" t="str">
        <f ca="1">IF(ISERROR(INDEX(INDIRECT($K$3),13,1)),"",INDEX(INDIRECT($K$3),13,1))</f>
        <v/>
      </c>
      <c r="B19" s="7" t="str">
        <f ca="1">IF(ISERROR(INDEX(INDIRECT($K$3),13,2)),"",INDEX(INDIRECT($K$3),13,2))</f>
        <v/>
      </c>
      <c r="C19" s="7" t="str">
        <f ca="1">IF(ISERROR(INDEX(INDIRECT($K$3),13,3)),"",INDEX(INDIRECT($K$3),13,3))</f>
        <v/>
      </c>
      <c r="D19" s="7" t="str">
        <f ca="1">IF(ISERROR(INDEX(INDIRECT($K$3),13,4)),"",INDEX(INDIRECT($K$3),13,4))</f>
        <v/>
      </c>
      <c r="E19" s="7" t="str">
        <f ca="1">IF(ISERROR(INDEX(INDIRECT($K$3),13,6)),"",INDEX(INDIRECT($K$3),13,6))</f>
        <v/>
      </c>
      <c r="F19" s="7" t="str">
        <f ca="1">IF(ISERROR(INDEX(INDIRECT($K$3),13,7)),"",INDEX(INDIRECT($K$3),13,7))</f>
        <v/>
      </c>
      <c r="G19" s="7" t="str">
        <f ca="1">IF(ISERROR(INDEX(INDIRECT($K$3),13,8)),"",INDEX(INDIRECT($K$3),13,8))</f>
        <v/>
      </c>
    </row>
    <row r="20" spans="1:8" x14ac:dyDescent="0.45">
      <c r="A20" s="6" t="str">
        <f ca="1">IF(ISERROR(INDEX(INDIRECT($K$3),14,1)),"",INDEX(INDIRECT($K$3),14,1))</f>
        <v/>
      </c>
      <c r="B20" s="7" t="str">
        <f ca="1">IF(ISERROR(INDEX(INDIRECT($K$3),14,2)),"",INDEX(INDIRECT($K$3),14,2))</f>
        <v/>
      </c>
      <c r="C20" s="7" t="str">
        <f ca="1">IF(ISERROR(INDEX(INDIRECT($K$3),14,3)),"",INDEX(INDIRECT($K$3),14,3))</f>
        <v/>
      </c>
      <c r="D20" s="7" t="str">
        <f ca="1">IF(ISERROR(INDEX(INDIRECT($K$3),14,4)),"",INDEX(INDIRECT($K$3),14,4))</f>
        <v/>
      </c>
      <c r="E20" s="7" t="str">
        <f ca="1">IF(ISERROR(INDEX(INDIRECT($K$3),14,6)),"",INDEX(INDIRECT($K$3),14,6))</f>
        <v/>
      </c>
      <c r="F20" s="7" t="str">
        <f ca="1">IF(ISERROR(INDEX(INDIRECT($K$3),14,7)),"",INDEX(INDIRECT($K$3),14,7))</f>
        <v/>
      </c>
      <c r="G20" s="7" t="str">
        <f ca="1">IF(ISERROR(INDEX(INDIRECT($K$3),14,8)),"",INDEX(INDIRECT($K$3),14,8))</f>
        <v/>
      </c>
    </row>
    <row r="21" spans="1:8" x14ac:dyDescent="0.45">
      <c r="A21" s="6" t="str">
        <f ca="1">IF(ISERROR(INDEX(INDIRECT($K$3),15,1)),"",INDEX(INDIRECT($K$3),15,1))</f>
        <v/>
      </c>
      <c r="B21" s="7" t="str">
        <f ca="1">IF(ISERROR(INDEX(INDIRECT($K$3),15,2)),"",INDEX(INDIRECT($K$3),15,2))</f>
        <v/>
      </c>
      <c r="C21" s="7" t="str">
        <f ca="1">IF(ISERROR(INDEX(INDIRECT($K$3),15,3)),"",INDEX(INDIRECT($K$3),15,3))</f>
        <v/>
      </c>
      <c r="D21" s="7" t="str">
        <f ca="1">IF(ISERROR(INDEX(INDIRECT($K$3),15,4)),"",INDEX(INDIRECT($K$3),15,4))</f>
        <v/>
      </c>
      <c r="E21" s="7" t="str">
        <f ca="1">IF(ISERROR(INDEX(INDIRECT($K$3),15,6)),"",INDEX(INDIRECT($K$3),15,6))</f>
        <v/>
      </c>
      <c r="F21" s="7" t="str">
        <f ca="1">IF(ISERROR(INDEX(INDIRECT($K$3),15,7)),"",INDEX(INDIRECT($K$3),15,7))</f>
        <v/>
      </c>
      <c r="G21" s="7" t="str">
        <f ca="1">IF(ISERROR(INDEX(INDIRECT($K$3),15,8)),"",INDEX(INDIRECT($K$3),15,8))</f>
        <v/>
      </c>
    </row>
    <row r="22" spans="1:8" x14ac:dyDescent="0.45">
      <c r="A22" s="6" t="str">
        <f ca="1">IF(ISERROR(INDEX(INDIRECT($K$3),16,1)),"",INDEX(INDIRECT($K$3),16,1))</f>
        <v/>
      </c>
      <c r="B22" s="7" t="str">
        <f ca="1">IF(ISERROR(INDEX(INDIRECT($K$3),16,2)),"",INDEX(INDIRECT($K$3),16,2))</f>
        <v/>
      </c>
      <c r="C22" s="7" t="str">
        <f ca="1">IF(ISERROR(INDEX(INDIRECT($K$3),16,3)),"",INDEX(INDIRECT($K$3),16,3))</f>
        <v/>
      </c>
      <c r="D22" s="7" t="str">
        <f ca="1">IF(ISERROR(INDEX(INDIRECT($K$3),16,4)),"",INDEX(INDIRECT($K$3),16,4))</f>
        <v/>
      </c>
      <c r="E22" s="7" t="str">
        <f ca="1">IF(ISERROR(INDEX(INDIRECT($K$3),16,6)),"",INDEX(INDIRECT($K$3),16,6))</f>
        <v/>
      </c>
      <c r="F22" s="7" t="str">
        <f ca="1">IF(ISERROR(INDEX(INDIRECT($K$3),16,7)),"",INDEX(INDIRECT($K$3),16,7))</f>
        <v/>
      </c>
      <c r="G22" s="7" t="str">
        <f ca="1">IF(ISERROR(INDEX(INDIRECT($K$3),16,8)),"",INDEX(INDIRECT($K$3),16,8))</f>
        <v/>
      </c>
    </row>
    <row r="23" spans="1:8" x14ac:dyDescent="0.45">
      <c r="A23" s="6" t="str">
        <f ca="1">IF(ISERROR(INDEX(INDIRECT($K$3),17,1)),"",INDEX(INDIRECT($K$3),17,1))</f>
        <v/>
      </c>
      <c r="B23" s="7" t="str">
        <f ca="1">IF(ISERROR(INDEX(INDIRECT($K$3),17,2)),"",INDEX(INDIRECT($K$3),17,2))</f>
        <v/>
      </c>
      <c r="C23" s="7" t="str">
        <f ca="1">IF(ISERROR(INDEX(INDIRECT($K$3),17,3)),"",INDEX(INDIRECT($K$3),17,3))</f>
        <v/>
      </c>
      <c r="D23" s="7" t="str">
        <f ca="1">IF(ISERROR(INDEX(INDIRECT($K$3),17,4)),"",INDEX(INDIRECT($K$3),17,4))</f>
        <v/>
      </c>
      <c r="E23" s="7" t="str">
        <f ca="1">IF(ISERROR(INDEX(INDIRECT($K$3),17,6)),"",INDEX(INDIRECT($K$3),17,6))</f>
        <v/>
      </c>
      <c r="F23" s="7" t="str">
        <f ca="1">IF(ISERROR(INDEX(INDIRECT($K$3),17,7)),"",INDEX(INDIRECT($K$3),17,7))</f>
        <v/>
      </c>
      <c r="G23" s="7" t="str">
        <f ca="1">IF(ISERROR(INDEX(INDIRECT($K$3),17,8)),"",INDEX(INDIRECT($K$3),17,8))</f>
        <v/>
      </c>
    </row>
    <row r="24" spans="1:8" x14ac:dyDescent="0.45">
      <c r="A24" s="6" t="str">
        <f ca="1">IF(ISERROR(INDEX(INDIRECT($K$3),18,1)),"",INDEX(INDIRECT($K$3),18,1))</f>
        <v/>
      </c>
      <c r="B24" s="7" t="str">
        <f ca="1">IF(ISERROR(INDEX(INDIRECT($K$3),18,2)),"",INDEX(INDIRECT($K$3),18,2))</f>
        <v/>
      </c>
      <c r="C24" s="7" t="str">
        <f ca="1">IF(ISERROR(INDEX(INDIRECT($K$3),18,3)),"",INDEX(INDIRECT($K$3),18,3))</f>
        <v/>
      </c>
      <c r="D24" s="7" t="str">
        <f ca="1">IF(ISERROR(INDEX(INDIRECT($K$3),18,4)),"",INDEX(INDIRECT($K$3),18,4))</f>
        <v/>
      </c>
      <c r="E24" s="7" t="str">
        <f ca="1">IF(ISERROR(INDEX(INDIRECT($K$3),18,6)),"",INDEX(INDIRECT($K$3),18,6))</f>
        <v/>
      </c>
      <c r="F24" s="7" t="str">
        <f ca="1">IF(ISERROR(INDEX(INDIRECT($K$3),18,7)),"",INDEX(INDIRECT($K$3),18,7))</f>
        <v/>
      </c>
      <c r="G24" s="7" t="str">
        <f ca="1">IF(ISERROR(INDEX(INDIRECT($K$3),18,8)),"",INDEX(INDIRECT($K$3),18,8))</f>
        <v/>
      </c>
    </row>
    <row r="25" spans="1:8" x14ac:dyDescent="0.45">
      <c r="A25" s="6" t="str">
        <f ca="1">IF(ISERROR(INDEX(INDIRECT($K$3),19,1)),"",INDEX(INDIRECT($K$3),19,1))</f>
        <v/>
      </c>
      <c r="B25" s="7" t="str">
        <f ca="1">IF(ISERROR(INDEX(INDIRECT($K$3),19,2)),"",INDEX(INDIRECT($K$3),19,2))</f>
        <v/>
      </c>
      <c r="C25" s="7" t="str">
        <f ca="1">IF(ISERROR(INDEX(INDIRECT($K$3),19,3)),"",INDEX(INDIRECT($K$3),19,3))</f>
        <v/>
      </c>
      <c r="D25" s="7" t="str">
        <f ca="1">IF(ISERROR(INDEX(INDIRECT($K$3),19,4)),"",INDEX(INDIRECT($K$3),19,4))</f>
        <v/>
      </c>
      <c r="E25" s="7" t="str">
        <f ca="1">IF(ISERROR(INDEX(INDIRECT($K$3),19,6)),"",INDEX(INDIRECT($K$3),19,6))</f>
        <v/>
      </c>
      <c r="F25" s="7" t="str">
        <f ca="1">IF(ISERROR(INDEX(INDIRECT($K$3),19,7)),"",INDEX(INDIRECT($K$3),19,7))</f>
        <v/>
      </c>
      <c r="G25" s="7" t="str">
        <f ca="1">IF(ISERROR(INDEX(INDIRECT($K$3),19,8)),"",INDEX(INDIRECT($K$3),19,8))</f>
        <v/>
      </c>
    </row>
    <row r="26" spans="1:8" x14ac:dyDescent="0.45">
      <c r="A26" s="6" t="str">
        <f ca="1">IF(ISERROR(INDEX(INDIRECT($K$3),20,1)),"",INDEX(INDIRECT($K$3),20,1))</f>
        <v/>
      </c>
      <c r="B26" s="7" t="str">
        <f ca="1">IF(ISERROR(INDEX(INDIRECT($K$3),20,2)),"",INDEX(INDIRECT($K$3),20,2))</f>
        <v/>
      </c>
      <c r="C26" s="7" t="str">
        <f ca="1">IF(ISERROR(INDEX(INDIRECT($K$3),20,3)),"",INDEX(INDIRECT($K$3),20,3))</f>
        <v/>
      </c>
      <c r="D26" s="7" t="str">
        <f ca="1">IF(ISERROR(INDEX(INDIRECT($K$3),20,4)),"",INDEX(INDIRECT($K$3),20,4))</f>
        <v/>
      </c>
      <c r="E26" s="7" t="str">
        <f ca="1">IF(ISERROR(INDEX(INDIRECT($K$3),20,6)),"",INDEX(INDIRECT($K$3),20,6))</f>
        <v/>
      </c>
      <c r="F26" s="7" t="str">
        <f ca="1">IF(ISERROR(INDEX(INDIRECT($K$3),20,7)),"",INDEX(INDIRECT($K$3),20,7))</f>
        <v/>
      </c>
      <c r="G26" s="7" t="str">
        <f ca="1">IF(ISERROR(INDEX(INDIRECT($K$3),20,8)),"",INDEX(INDIRECT($K$3),20,8))</f>
        <v/>
      </c>
    </row>
    <row r="27" spans="1:8" x14ac:dyDescent="0.45">
      <c r="A27" s="6" t="str">
        <f ca="1">IF(ISERROR(INDEX(INDIRECT($K$3),21,1)),"",INDEX(INDIRECT($K$3),21,1))</f>
        <v/>
      </c>
      <c r="B27" s="7" t="str">
        <f ca="1">IF(ISERROR(INDEX(INDIRECT($K$3),21,2)),"",INDEX(INDIRECT($K$3),21,2))</f>
        <v/>
      </c>
      <c r="C27" s="7" t="str">
        <f ca="1">IF(ISERROR(INDEX(INDIRECT($K$3),21,3)),"",INDEX(INDIRECT($K$3),21,3))</f>
        <v/>
      </c>
      <c r="D27" s="7" t="str">
        <f ca="1">IF(ISERROR(INDEX(INDIRECT($K$3),21,4)),"",INDEX(INDIRECT($K$3),21,4))</f>
        <v/>
      </c>
      <c r="E27" s="7" t="str">
        <f ca="1">IF(ISERROR(INDEX(INDIRECT($K$3),21,6)),"",INDEX(INDIRECT($K$3),21,6))</f>
        <v/>
      </c>
      <c r="F27" s="7" t="str">
        <f ca="1">IF(ISERROR(INDEX(INDIRECT($K$3),21,7)),"",INDEX(INDIRECT($K$3),21,7))</f>
        <v/>
      </c>
      <c r="G27" s="7" t="str">
        <f ca="1">IF(ISERROR(INDEX(INDIRECT($K$3),21,8)),"",INDEX(INDIRECT($K$3),21,8))</f>
        <v/>
      </c>
    </row>
    <row r="28" spans="1:8" x14ac:dyDescent="0.45">
      <c r="A28" s="6" t="str">
        <f ca="1">IF(ISERROR(INDEX(INDIRECT($K$3),22,1)),"",INDEX(INDIRECT($K$3),22,1))</f>
        <v/>
      </c>
      <c r="B28" s="7" t="str">
        <f ca="1">IF(ISERROR(INDEX(INDIRECT($K$3),22,2)),"",INDEX(INDIRECT($K$3),22,2))</f>
        <v/>
      </c>
      <c r="C28" s="7" t="str">
        <f ca="1">IF(ISERROR(INDEX(INDIRECT($K$3),22,3)),"",INDEX(INDIRECT($K$3),22,3))</f>
        <v/>
      </c>
      <c r="D28" s="7" t="str">
        <f ca="1">IF(ISERROR(INDEX(INDIRECT($K$3),22,4)),"",INDEX(INDIRECT($K$3),22,4))</f>
        <v/>
      </c>
      <c r="E28" s="7" t="str">
        <f ca="1">IF(ISERROR(INDEX(INDIRECT($K$3),22,5)),"",INDEX(INDIRECT($K$3),22,5))</f>
        <v/>
      </c>
      <c r="F28" s="7" t="str">
        <f ca="1">IF(ISERROR(INDEX(INDIRECT($K$3),22,6)),"",INDEX(INDIRECT($K$3),22,6))</f>
        <v/>
      </c>
      <c r="G28" s="7" t="str">
        <f ca="1">IF(ISERROR(INDEX(INDIRECT($K$3),22,7)),"",INDEX(INDIRECT($K$3),22,7))</f>
        <v/>
      </c>
      <c r="H28" s="7" t="str">
        <f ca="1">IF(ISERROR(INDEX(INDIRECT($K$3),22,8)),"",INDEX(INDIRECT($K$3),22,8))</f>
        <v/>
      </c>
    </row>
    <row r="29" spans="1:8" x14ac:dyDescent="0.45">
      <c r="A29" s="6" t="str">
        <f ca="1">IF(ISERROR(INDEX(INDIRECT($K$3),23,1)),"",INDEX(INDIRECT($K$3),23,1))</f>
        <v/>
      </c>
      <c r="B29" s="7" t="str">
        <f ca="1">IF(ISERROR(INDEX(INDIRECT($K$3),23,2)),"",INDEX(INDIRECT($K$3),23,2))</f>
        <v/>
      </c>
      <c r="C29" s="7" t="str">
        <f ca="1">IF(ISERROR(INDEX(INDIRECT($K$3),23,3)),"",INDEX(INDIRECT($K$3),23,3))</f>
        <v/>
      </c>
      <c r="D29" s="7" t="str">
        <f ca="1">IF(ISERROR(INDEX(INDIRECT($K$3),23,4)),"",INDEX(INDIRECT($K$3),23,4))</f>
        <v/>
      </c>
      <c r="E29" s="7" t="str">
        <f ca="1">IF(ISERROR(INDEX(INDIRECT($K$3),23,5)),"",INDEX(INDIRECT($K$3),23,5))</f>
        <v/>
      </c>
      <c r="F29" s="7" t="str">
        <f ca="1">IF(ISERROR(INDEX(INDIRECT($K$3),23,6)),"",INDEX(INDIRECT($K$3),23,6))</f>
        <v/>
      </c>
      <c r="G29" s="7" t="str">
        <f ca="1">IF(ISERROR(INDEX(INDIRECT($K$3),23,7)),"",INDEX(INDIRECT($K$3),23,7))</f>
        <v/>
      </c>
      <c r="H29" s="7" t="str">
        <f ca="1">IF(ISERROR(INDEX(INDIRECT($K$3),23,8)),"",INDEX(INDIRECT($K$3),23,8))</f>
        <v/>
      </c>
    </row>
    <row r="30" spans="1:8" x14ac:dyDescent="0.45">
      <c r="A30" s="6" t="str">
        <f ca="1">IF(ISERROR(INDEX(INDIRECT($K$3),24,1)),"",INDEX(INDIRECT($K$3),24,1))</f>
        <v/>
      </c>
      <c r="B30" s="7" t="str">
        <f ca="1">IF(ISERROR(INDEX(INDIRECT($K$3),24,2)),"",INDEX(INDIRECT($K$3),24,2))</f>
        <v/>
      </c>
      <c r="C30" s="7" t="str">
        <f ca="1">IF(ISERROR(INDEX(INDIRECT($K$3),24,3)),"",INDEX(INDIRECT($K$3),24,3))</f>
        <v/>
      </c>
      <c r="D30" s="7" t="str">
        <f ca="1">IF(ISERROR(INDEX(INDIRECT($K$3),24,4)),"",INDEX(INDIRECT($K$3),24,4))</f>
        <v/>
      </c>
      <c r="E30" s="7" t="str">
        <f ca="1">IF(ISERROR(INDEX(INDIRECT($K$3),24,5)),"",INDEX(INDIRECT($K$3),24,5))</f>
        <v/>
      </c>
      <c r="F30" s="7" t="str">
        <f ca="1">IF(ISERROR(INDEX(INDIRECT($K$3),24,6)),"",INDEX(INDIRECT($K$3),24,6))</f>
        <v/>
      </c>
      <c r="G30" s="7" t="str">
        <f ca="1">IF(ISERROR(INDEX(INDIRECT($K$3),24,7)),"",INDEX(INDIRECT($K$3),24,7))</f>
        <v/>
      </c>
      <c r="H30" s="7" t="str">
        <f ca="1">IF(ISERROR(INDEX(INDIRECT($K$3),24,8)),"",INDEX(INDIRECT($K$3),24,8))</f>
        <v/>
      </c>
    </row>
    <row r="31" spans="1:8" x14ac:dyDescent="0.45">
      <c r="A31" s="6" t="str">
        <f ca="1">IF(ISERROR(INDEX(INDIRECT($K$3),25,1)),"",INDEX(INDIRECT($K$3),25,1))</f>
        <v/>
      </c>
      <c r="B31" s="7" t="str">
        <f ca="1">IF(ISERROR(INDEX(INDIRECT($K$3),25,2)),"",INDEX(INDIRECT($K$3),25,2))</f>
        <v/>
      </c>
      <c r="C31" s="7" t="str">
        <f ca="1">IF(ISERROR(INDEX(INDIRECT($K$3),25,3)),"",INDEX(INDIRECT($K$3),25,3))</f>
        <v/>
      </c>
      <c r="D31" s="7" t="str">
        <f ca="1">IF(ISERROR(INDEX(INDIRECT($K$3),25,4)),"",INDEX(INDIRECT($K$3),25,4))</f>
        <v/>
      </c>
      <c r="E31" s="7" t="str">
        <f ca="1">IF(ISERROR(INDEX(INDIRECT($K$3),25,5)),"",INDEX(INDIRECT($K$3),25,5))</f>
        <v/>
      </c>
      <c r="F31" s="7" t="str">
        <f ca="1">IF(ISERROR(INDEX(INDIRECT($K$3),25,6)),"",INDEX(INDIRECT($K$3),25,6))</f>
        <v/>
      </c>
      <c r="G31" s="7" t="str">
        <f ca="1">IF(ISERROR(INDEX(INDIRECT($K$3),25,7)),"",INDEX(INDIRECT($K$3),25,7))</f>
        <v/>
      </c>
      <c r="H31" s="7" t="str">
        <f ca="1">IF(ISERROR(INDEX(INDIRECT($K$3),25,8)),"",INDEX(INDIRECT($K$3),25,8))</f>
        <v/>
      </c>
    </row>
    <row r="32" spans="1:8" x14ac:dyDescent="0.45">
      <c r="A32" s="6" t="str">
        <f ca="1">IF(ISERROR(INDEX(INDIRECT($K$3),26,1)),"",INDEX(INDIRECT($K$3),26,1))</f>
        <v/>
      </c>
      <c r="B32" s="7" t="str">
        <f ca="1">IF(ISERROR(INDEX(INDIRECT($K$3),26,2)),"",INDEX(INDIRECT($K$3),26,2))</f>
        <v/>
      </c>
      <c r="C32" s="7" t="str">
        <f ca="1">IF(ISERROR(INDEX(INDIRECT($K$3),26,3)),"",INDEX(INDIRECT($K$3),26,3))</f>
        <v/>
      </c>
      <c r="D32" s="7" t="str">
        <f ca="1">IF(ISERROR(INDEX(INDIRECT($K$3),26,4)),"",INDEX(INDIRECT($K$3),26,4))</f>
        <v/>
      </c>
      <c r="E32" s="7" t="str">
        <f ca="1">IF(ISERROR(INDEX(INDIRECT($K$3),26,5)),"",INDEX(INDIRECT($K$3),26,5))</f>
        <v/>
      </c>
      <c r="F32" s="7" t="str">
        <f ca="1">IF(ISERROR(INDEX(INDIRECT($K$3),26,6)),"",INDEX(INDIRECT($K$3),26,6))</f>
        <v/>
      </c>
      <c r="G32" s="7" t="str">
        <f ca="1">IF(ISERROR(INDEX(INDIRECT($K$3),26,7)),"",INDEX(INDIRECT($K$3),26,7))</f>
        <v/>
      </c>
      <c r="H32" s="7" t="str">
        <f ca="1">IF(ISERROR(INDEX(INDIRECT($K$3),26,8)),"",INDEX(INDIRECT($K$3),26,8))</f>
        <v/>
      </c>
    </row>
    <row r="33" spans="1:8" x14ac:dyDescent="0.45">
      <c r="A33" s="6" t="str">
        <f ca="1">IF(ISERROR(INDEX(INDIRECT($K$3),27,1)),"",INDEX(INDIRECT($K$3),27,1))</f>
        <v/>
      </c>
      <c r="B33" s="7" t="str">
        <f ca="1">IF(ISERROR(INDEX(INDIRECT($K$3),27,2)),"",INDEX(INDIRECT($K$3),27,2))</f>
        <v/>
      </c>
      <c r="C33" s="7" t="str">
        <f ca="1">IF(ISERROR(INDEX(INDIRECT($K$3),27,3)),"",INDEX(INDIRECT($K$3),27,3))</f>
        <v/>
      </c>
      <c r="D33" s="7" t="str">
        <f ca="1">IF(ISERROR(INDEX(INDIRECT($K$3),27,4)),"",INDEX(INDIRECT($K$3),27,4))</f>
        <v/>
      </c>
      <c r="E33" s="7" t="str">
        <f ca="1">IF(ISERROR(INDEX(INDIRECT($K$3),27,5)),"",INDEX(INDIRECT($K$3),27,5))</f>
        <v/>
      </c>
      <c r="F33" s="7" t="str">
        <f ca="1">IF(ISERROR(INDEX(INDIRECT($K$3),27,6)),"",INDEX(INDIRECT($K$3),27,6))</f>
        <v/>
      </c>
      <c r="G33" s="7" t="str">
        <f ca="1">IF(ISERROR(INDEX(INDIRECT($K$3),27,7)),"",INDEX(INDIRECT($K$3),27,7))</f>
        <v/>
      </c>
      <c r="H33" s="7" t="str">
        <f ca="1">IF(ISERROR(INDEX(INDIRECT($K$3),27,8)),"",INDEX(INDIRECT($K$3),27,8))</f>
        <v/>
      </c>
    </row>
    <row r="34" spans="1:8" x14ac:dyDescent="0.45">
      <c r="A34" s="6" t="str">
        <f ca="1">IF(ISERROR(INDEX(INDIRECT($K$3),28,1)),"",INDEX(INDIRECT($K$3),28,1))</f>
        <v/>
      </c>
      <c r="B34" s="7" t="str">
        <f ca="1">IF(ISERROR(INDEX(INDIRECT($K$3),28,2)),"",INDEX(INDIRECT($K$3),28,2))</f>
        <v/>
      </c>
      <c r="C34" s="7" t="str">
        <f ca="1">IF(ISERROR(INDEX(INDIRECT($K$3),28,3)),"",INDEX(INDIRECT($K$3),28,3))</f>
        <v/>
      </c>
      <c r="D34" s="7" t="str">
        <f ca="1">IF(ISERROR(INDEX(INDIRECT($K$3),28,4)),"",INDEX(INDIRECT($K$3),28,4))</f>
        <v/>
      </c>
      <c r="E34" s="7" t="str">
        <f ca="1">IF(ISERROR(INDEX(INDIRECT($K$3),28,5)),"",INDEX(INDIRECT($K$3),28,5))</f>
        <v/>
      </c>
      <c r="F34" s="7" t="str">
        <f ca="1">IF(ISERROR(INDEX(INDIRECT($K$3),28,6)),"",INDEX(INDIRECT($K$3),28,6))</f>
        <v/>
      </c>
      <c r="G34" s="7" t="str">
        <f ca="1">IF(ISERROR(INDEX(INDIRECT($K$3),28,7)),"",INDEX(INDIRECT($K$3),28,7))</f>
        <v/>
      </c>
      <c r="H34" s="7" t="str">
        <f ca="1">IF(ISERROR(INDEX(INDIRECT($K$3),28,8)),"",INDEX(INDIRECT($K$3),28,8))</f>
        <v/>
      </c>
    </row>
    <row r="35" spans="1:8" x14ac:dyDescent="0.45">
      <c r="A35" s="6" t="str">
        <f ca="1">IF(ISERROR(INDEX(INDIRECT($K$3),29,1)),"",INDEX(INDIRECT($K$3),29,1))</f>
        <v/>
      </c>
      <c r="B35" s="7" t="str">
        <f ca="1">IF(ISERROR(INDEX(INDIRECT($K$3),29,2)),"",INDEX(INDIRECT($K$3),29,2))</f>
        <v/>
      </c>
      <c r="C35" s="7" t="str">
        <f ca="1">IF(ISERROR(INDEX(INDIRECT($K$3),29,3)),"",INDEX(INDIRECT($K$3),29,3))</f>
        <v/>
      </c>
      <c r="D35" s="7" t="str">
        <f ca="1">IF(ISERROR(INDEX(INDIRECT($K$3),29,4)),"",INDEX(INDIRECT($K$3),29,4))</f>
        <v/>
      </c>
      <c r="E35" s="7" t="str">
        <f ca="1">IF(ISERROR(INDEX(INDIRECT($K$3),29,5)),"",INDEX(INDIRECT($K$3),29,5))</f>
        <v/>
      </c>
      <c r="F35" s="7" t="str">
        <f ca="1">IF(ISERROR(INDEX(INDIRECT($K$3),29,6)),"",INDEX(INDIRECT($K$3),29,6))</f>
        <v/>
      </c>
      <c r="G35" s="7" t="str">
        <f ca="1">IF(ISERROR(INDEX(INDIRECT($K$3),29,7)),"",INDEX(INDIRECT($K$3),29,7))</f>
        <v/>
      </c>
      <c r="H35" s="7" t="str">
        <f ca="1">IF(ISERROR(INDEX(INDIRECT($K$3),29,8)),"",INDEX(INDIRECT($K$3),29,8))</f>
        <v/>
      </c>
    </row>
    <row r="36" spans="1:8" x14ac:dyDescent="0.45">
      <c r="A36" s="6" t="str">
        <f ca="1">IF(ISERROR(INDEX(INDIRECT($K$3),30,1)),"",INDEX(INDIRECT($K$3),30,1))</f>
        <v/>
      </c>
      <c r="B36" s="7" t="str">
        <f ca="1">IF(ISERROR(INDEX(INDIRECT($K$3),30,2)),"",INDEX(INDIRECT($K$3),30,2))</f>
        <v/>
      </c>
      <c r="C36" s="7" t="str">
        <f ca="1">IF(ISERROR(INDEX(INDIRECT($K$3),30,3)),"",INDEX(INDIRECT($K$3),30,3))</f>
        <v/>
      </c>
      <c r="D36" s="7" t="str">
        <f ca="1">IF(ISERROR(INDEX(INDIRECT($K$3),30,4)),"",INDEX(INDIRECT($K$3),30,4))</f>
        <v/>
      </c>
      <c r="E36" s="7" t="str">
        <f ca="1">IF(ISERROR(INDEX(INDIRECT($K$3),30,5)),"",INDEX(INDIRECT($K$3),30,5))</f>
        <v/>
      </c>
      <c r="F36" s="7" t="str">
        <f ca="1">IF(ISERROR(INDEX(INDIRECT($K$3),30,6)),"",INDEX(INDIRECT($K$3),30,6))</f>
        <v/>
      </c>
      <c r="G36" s="7" t="str">
        <f ca="1">IF(ISERROR(INDEX(INDIRECT($K$3),30,7)),"",INDEX(INDIRECT($K$3),30,7))</f>
        <v/>
      </c>
      <c r="H36" s="7" t="str">
        <f ca="1">IF(ISERROR(INDEX(INDIRECT($K$3),30,8)),"",INDEX(INDIRECT($K$3),30,8))</f>
        <v/>
      </c>
    </row>
  </sheetData>
  <sheetProtection selectLockedCells="1"/>
  <mergeCells count="7">
    <mergeCell ref="B7:G7"/>
    <mergeCell ref="A5:F5"/>
    <mergeCell ref="C2:D2"/>
    <mergeCell ref="C4:D4"/>
    <mergeCell ref="C3:D3"/>
    <mergeCell ref="A6:C6"/>
    <mergeCell ref="D6:G6"/>
  </mergeCells>
  <phoneticPr fontId="3"/>
  <conditionalFormatting sqref="A9:G27 A28:H36">
    <cfRule type="expression" dxfId="1" priority="2">
      <formula>A9&lt;&gt;""</formula>
    </cfRule>
  </conditionalFormatting>
  <conditionalFormatting sqref="G8">
    <cfRule type="expression" dxfId="0" priority="1">
      <formula>G8&lt;&gt;""</formula>
    </cfRule>
  </conditionalFormatting>
  <pageMargins left="0.31496062992125984" right="0.31496062992125984" top="0.74803149606299213" bottom="0.74803149606299213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1</xdr:row>
                    <xdr:rowOff>83820</xdr:rowOff>
                  </from>
                  <to>
                    <xdr:col>1</xdr:col>
                    <xdr:colOff>38100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1</xdr:row>
                    <xdr:rowOff>83820</xdr:rowOff>
                  </from>
                  <to>
                    <xdr:col>1</xdr:col>
                    <xdr:colOff>3040380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1</xdr:row>
                    <xdr:rowOff>106680</xdr:rowOff>
                  </from>
                  <to>
                    <xdr:col>4</xdr:col>
                    <xdr:colOff>182880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2</xdr:row>
                    <xdr:rowOff>99060</xdr:rowOff>
                  </from>
                  <to>
                    <xdr:col>1</xdr:col>
                    <xdr:colOff>38100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locked="0" defaultSize="0" autoFill="0" autoLine="0" autoPict="0" altText="">
                <anchor moveWithCells="1">
                  <from>
                    <xdr:col>1</xdr:col>
                    <xdr:colOff>2819400</xdr:colOff>
                    <xdr:row>2</xdr:row>
                    <xdr:rowOff>99060</xdr:rowOff>
                  </from>
                  <to>
                    <xdr:col>1</xdr:col>
                    <xdr:colOff>3002280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2</xdr:row>
                    <xdr:rowOff>83820</xdr:rowOff>
                  </from>
                  <to>
                    <xdr:col>4</xdr:col>
                    <xdr:colOff>182880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Option Button 9">
              <controlPr locked="0" defaultSize="0" autoFill="0" autoLine="0" autoPict="0">
                <anchor moveWithCells="1">
                  <from>
                    <xdr:col>0</xdr:col>
                    <xdr:colOff>121920</xdr:colOff>
                    <xdr:row>3</xdr:row>
                    <xdr:rowOff>83820</xdr:rowOff>
                  </from>
                  <to>
                    <xdr:col>1</xdr:col>
                    <xdr:colOff>38100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Option Button 10">
              <controlPr locked="0" defaultSize="0" autoFill="0" autoLine="0" autoPict="0">
                <anchor moveWithCells="1">
                  <from>
                    <xdr:col>1</xdr:col>
                    <xdr:colOff>2819400</xdr:colOff>
                    <xdr:row>3</xdr:row>
                    <xdr:rowOff>83820</xdr:rowOff>
                  </from>
                  <to>
                    <xdr:col>1</xdr:col>
                    <xdr:colOff>3040380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Option Button 11">
              <controlPr locked="0" defaultSize="0" autoFill="0" autoLine="0" autoPict="0">
                <anchor moveWithCells="1">
                  <from>
                    <xdr:col>3</xdr:col>
                    <xdr:colOff>975360</xdr:colOff>
                    <xdr:row>3</xdr:row>
                    <xdr:rowOff>83820</xdr:rowOff>
                  </from>
                  <to>
                    <xdr:col>4</xdr:col>
                    <xdr:colOff>182880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Option Button 12">
              <controlPr defaultSize="0" autoFill="0" autoLine="0" autoPict="0">
                <anchor moveWithCells="1">
                  <from>
                    <xdr:col>5</xdr:col>
                    <xdr:colOff>464820</xdr:colOff>
                    <xdr:row>0</xdr:row>
                    <xdr:rowOff>0</xdr:rowOff>
                  </from>
                  <to>
                    <xdr:col>5</xdr:col>
                    <xdr:colOff>845820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28B9-242C-4F66-AB2D-CE9438FE093C}">
  <dimension ref="B1:I66"/>
  <sheetViews>
    <sheetView workbookViewId="0">
      <selection activeCell="J3" sqref="J3"/>
    </sheetView>
  </sheetViews>
  <sheetFormatPr defaultRowHeight="18" x14ac:dyDescent="0.45"/>
  <cols>
    <col min="1" max="1" width="2" customWidth="1"/>
    <col min="3" max="3" width="11.8984375" bestFit="1" customWidth="1"/>
    <col min="4" max="4" width="24.09765625" customWidth="1"/>
  </cols>
  <sheetData>
    <row r="1" spans="2:9" ht="6.75" customHeight="1" thickBot="1" x14ac:dyDescent="0.5"/>
    <row r="2" spans="2:9" x14ac:dyDescent="0.45">
      <c r="B2" s="11" t="s">
        <v>285</v>
      </c>
      <c r="C2" s="12" t="s">
        <v>286</v>
      </c>
      <c r="D2" s="12" t="s">
        <v>287</v>
      </c>
      <c r="E2" s="12" t="s">
        <v>288</v>
      </c>
      <c r="F2" s="12" t="s">
        <v>289</v>
      </c>
      <c r="G2" s="13" t="s">
        <v>290</v>
      </c>
      <c r="I2" s="24" t="s">
        <v>264</v>
      </c>
    </row>
    <row r="3" spans="2:9" x14ac:dyDescent="0.45">
      <c r="B3" s="14" t="s">
        <v>291</v>
      </c>
      <c r="C3" s="24">
        <v>4370200380</v>
      </c>
      <c r="D3" s="15" t="s">
        <v>1</v>
      </c>
      <c r="E3" s="41" t="s">
        <v>292</v>
      </c>
      <c r="F3" s="41">
        <v>49</v>
      </c>
      <c r="G3" s="42">
        <v>104</v>
      </c>
      <c r="H3" t="s">
        <v>284</v>
      </c>
      <c r="I3" s="25">
        <v>46173</v>
      </c>
    </row>
    <row r="4" spans="2:9" x14ac:dyDescent="0.45">
      <c r="B4" s="14" t="s">
        <v>291</v>
      </c>
      <c r="C4" s="36">
        <v>4370200356</v>
      </c>
      <c r="D4" s="15" t="s">
        <v>5</v>
      </c>
      <c r="E4" s="41" t="s">
        <v>292</v>
      </c>
      <c r="F4" s="41">
        <v>59</v>
      </c>
      <c r="G4" s="42">
        <v>69</v>
      </c>
    </row>
    <row r="5" spans="2:9" x14ac:dyDescent="0.45">
      <c r="B5" s="14" t="s">
        <v>291</v>
      </c>
      <c r="C5" s="24">
        <v>4370200414</v>
      </c>
      <c r="D5" s="15" t="s">
        <v>9</v>
      </c>
      <c r="E5" s="41" t="s">
        <v>292</v>
      </c>
      <c r="F5" s="41">
        <v>49</v>
      </c>
      <c r="G5" s="42">
        <v>70</v>
      </c>
    </row>
    <row r="6" spans="2:9" x14ac:dyDescent="0.45">
      <c r="B6" s="14" t="s">
        <v>291</v>
      </c>
      <c r="C6" s="36">
        <v>4370200406</v>
      </c>
      <c r="D6" s="15" t="s">
        <v>13</v>
      </c>
      <c r="E6" s="41" t="s">
        <v>292</v>
      </c>
      <c r="F6" s="41">
        <v>47</v>
      </c>
      <c r="G6" s="42">
        <v>56</v>
      </c>
    </row>
    <row r="7" spans="2:9" x14ac:dyDescent="0.45">
      <c r="B7" s="14" t="s">
        <v>291</v>
      </c>
      <c r="C7" s="24">
        <v>4370200398</v>
      </c>
      <c r="D7" s="15" t="s">
        <v>17</v>
      </c>
      <c r="E7" s="41" t="s">
        <v>292</v>
      </c>
      <c r="F7" s="41">
        <v>50</v>
      </c>
      <c r="G7" s="42">
        <v>120</v>
      </c>
    </row>
    <row r="8" spans="2:9" x14ac:dyDescent="0.45">
      <c r="B8" s="14" t="s">
        <v>291</v>
      </c>
      <c r="C8" s="24">
        <v>4372900797</v>
      </c>
      <c r="D8" s="15" t="s">
        <v>21</v>
      </c>
      <c r="E8" s="41" t="s">
        <v>292</v>
      </c>
      <c r="F8" s="41">
        <v>49</v>
      </c>
      <c r="G8" s="42">
        <v>15</v>
      </c>
    </row>
    <row r="9" spans="2:9" x14ac:dyDescent="0.45">
      <c r="B9" s="14" t="s">
        <v>291</v>
      </c>
      <c r="C9" s="24">
        <v>4372900334</v>
      </c>
      <c r="D9" s="15" t="s">
        <v>25</v>
      </c>
      <c r="E9" s="41" t="s">
        <v>292</v>
      </c>
      <c r="F9" s="41">
        <v>49</v>
      </c>
      <c r="G9" s="42">
        <v>73</v>
      </c>
    </row>
    <row r="10" spans="2:9" x14ac:dyDescent="0.45">
      <c r="B10" s="14" t="s">
        <v>291</v>
      </c>
      <c r="C10" s="24">
        <v>4370202634</v>
      </c>
      <c r="D10" s="15" t="s">
        <v>29</v>
      </c>
      <c r="E10" s="41" t="e">
        <v>#N/A</v>
      </c>
      <c r="F10" s="41" t="e">
        <v>#N/A</v>
      </c>
      <c r="G10" s="42" t="e">
        <v>#N/A</v>
      </c>
    </row>
    <row r="11" spans="2:9" x14ac:dyDescent="0.45">
      <c r="B11" s="14" t="s">
        <v>291</v>
      </c>
      <c r="C11" s="24">
        <v>4372900664</v>
      </c>
      <c r="D11" s="15" t="s">
        <v>29</v>
      </c>
      <c r="E11" s="41" t="s">
        <v>292</v>
      </c>
      <c r="F11" s="41">
        <v>80</v>
      </c>
      <c r="G11" s="42">
        <v>102</v>
      </c>
    </row>
    <row r="12" spans="2:9" x14ac:dyDescent="0.45">
      <c r="B12" s="14" t="s">
        <v>291</v>
      </c>
      <c r="C12" s="24">
        <v>4372900367</v>
      </c>
      <c r="D12" s="15" t="s">
        <v>33</v>
      </c>
      <c r="E12" s="41" t="s">
        <v>292</v>
      </c>
      <c r="F12" s="41">
        <v>30</v>
      </c>
      <c r="G12" s="42">
        <v>56</v>
      </c>
    </row>
    <row r="13" spans="2:9" x14ac:dyDescent="0.45">
      <c r="B13" s="14" t="s">
        <v>291</v>
      </c>
      <c r="C13" s="24">
        <v>4370202071</v>
      </c>
      <c r="D13" s="15" t="s">
        <v>36</v>
      </c>
      <c r="E13" s="41" t="s">
        <v>292</v>
      </c>
      <c r="F13" s="41">
        <v>60</v>
      </c>
      <c r="G13" s="42">
        <v>42</v>
      </c>
    </row>
    <row r="14" spans="2:9" x14ac:dyDescent="0.45">
      <c r="B14" s="14" t="s">
        <v>293</v>
      </c>
      <c r="C14" s="24">
        <v>4390200162</v>
      </c>
      <c r="D14" s="15" t="s">
        <v>294</v>
      </c>
      <c r="E14" s="41" t="s">
        <v>292</v>
      </c>
      <c r="F14" s="41">
        <v>29</v>
      </c>
      <c r="G14" s="42">
        <v>28</v>
      </c>
    </row>
    <row r="15" spans="2:9" x14ac:dyDescent="0.45">
      <c r="B15" s="14" t="s">
        <v>293</v>
      </c>
      <c r="C15" s="24">
        <v>4390200261</v>
      </c>
      <c r="D15" s="15" t="s">
        <v>295</v>
      </c>
      <c r="E15" s="41" t="s">
        <v>292</v>
      </c>
      <c r="F15" s="41">
        <v>29</v>
      </c>
      <c r="G15" s="42">
        <v>35</v>
      </c>
    </row>
    <row r="16" spans="2:9" x14ac:dyDescent="0.45">
      <c r="B16" s="14" t="s">
        <v>293</v>
      </c>
      <c r="C16" s="24">
        <v>4390200279</v>
      </c>
      <c r="D16" s="15" t="s">
        <v>296</v>
      </c>
      <c r="E16" s="41" t="s">
        <v>292</v>
      </c>
      <c r="F16" s="41">
        <v>29</v>
      </c>
      <c r="G16" s="42">
        <v>46</v>
      </c>
    </row>
    <row r="17" spans="2:7" x14ac:dyDescent="0.45">
      <c r="B17" s="14" t="s">
        <v>293</v>
      </c>
      <c r="C17" s="24">
        <v>4390200378</v>
      </c>
      <c r="D17" s="15" t="s">
        <v>297</v>
      </c>
      <c r="E17" s="41" t="s">
        <v>292</v>
      </c>
      <c r="F17" s="41">
        <v>29</v>
      </c>
      <c r="G17" s="42">
        <v>102</v>
      </c>
    </row>
    <row r="18" spans="2:7" x14ac:dyDescent="0.45">
      <c r="B18" s="14" t="s">
        <v>293</v>
      </c>
      <c r="C18" s="36">
        <v>4390200451</v>
      </c>
      <c r="D18" s="15" t="s">
        <v>298</v>
      </c>
      <c r="E18" s="41" t="s">
        <v>292</v>
      </c>
      <c r="F18" s="41">
        <v>26</v>
      </c>
      <c r="G18" s="42">
        <v>15</v>
      </c>
    </row>
    <row r="19" spans="2:7" x14ac:dyDescent="0.45">
      <c r="B19" s="14" t="s">
        <v>299</v>
      </c>
      <c r="C19" s="24">
        <v>4350280048</v>
      </c>
      <c r="D19" s="15" t="s">
        <v>300</v>
      </c>
      <c r="E19" s="41" t="s">
        <v>292</v>
      </c>
      <c r="F19" s="41">
        <v>70</v>
      </c>
      <c r="G19" s="42">
        <v>3</v>
      </c>
    </row>
    <row r="20" spans="2:7" x14ac:dyDescent="0.45">
      <c r="B20" s="14" t="s">
        <v>299</v>
      </c>
      <c r="C20" s="24">
        <v>4350280063</v>
      </c>
      <c r="D20" s="15" t="s">
        <v>301</v>
      </c>
      <c r="E20" s="41" t="e">
        <v>#N/A</v>
      </c>
      <c r="F20" s="41" t="e">
        <v>#N/A</v>
      </c>
      <c r="G20" s="42" t="e">
        <v>#N/A</v>
      </c>
    </row>
    <row r="21" spans="2:7" x14ac:dyDescent="0.45">
      <c r="B21" s="14" t="s">
        <v>299</v>
      </c>
      <c r="C21" s="24">
        <v>4350280022</v>
      </c>
      <c r="D21" s="15" t="s">
        <v>301</v>
      </c>
      <c r="E21" s="41">
        <v>0</v>
      </c>
      <c r="F21" s="41">
        <v>80</v>
      </c>
      <c r="G21" s="42">
        <v>4</v>
      </c>
    </row>
    <row r="22" spans="2:7" x14ac:dyDescent="0.45">
      <c r="B22" s="14" t="s">
        <v>299</v>
      </c>
      <c r="C22" s="24">
        <v>4350280030</v>
      </c>
      <c r="D22" s="15" t="s">
        <v>302</v>
      </c>
      <c r="E22" s="41" t="s">
        <v>292</v>
      </c>
      <c r="F22" s="41">
        <v>71</v>
      </c>
      <c r="G22" s="42">
        <v>5</v>
      </c>
    </row>
    <row r="23" spans="2:7" x14ac:dyDescent="0.45">
      <c r="B23" s="14" t="s">
        <v>299</v>
      </c>
      <c r="C23" s="24">
        <v>4350280071</v>
      </c>
      <c r="D23" s="15" t="s">
        <v>162</v>
      </c>
      <c r="E23" s="41">
        <v>0</v>
      </c>
      <c r="F23" s="41">
        <v>47</v>
      </c>
      <c r="G23" s="42">
        <v>8</v>
      </c>
    </row>
    <row r="24" spans="2:7" x14ac:dyDescent="0.45">
      <c r="B24" s="14" t="s">
        <v>299</v>
      </c>
      <c r="C24" s="24">
        <v>4350280055</v>
      </c>
      <c r="D24" s="15" t="s">
        <v>162</v>
      </c>
      <c r="E24" s="41" t="s">
        <v>292</v>
      </c>
      <c r="F24" s="41">
        <v>76</v>
      </c>
      <c r="G24" s="42">
        <v>5</v>
      </c>
    </row>
    <row r="25" spans="2:7" x14ac:dyDescent="0.45">
      <c r="B25" s="14" t="s">
        <v>299</v>
      </c>
      <c r="C25" s="24">
        <v>4350280014</v>
      </c>
      <c r="D25" s="15" t="s">
        <v>303</v>
      </c>
      <c r="E25" s="41" t="s">
        <v>292</v>
      </c>
      <c r="F25" s="41">
        <v>75</v>
      </c>
      <c r="G25" s="42">
        <v>3</v>
      </c>
    </row>
    <row r="26" spans="2:7" x14ac:dyDescent="0.45">
      <c r="B26" s="14" t="s">
        <v>299</v>
      </c>
      <c r="C26" s="24">
        <v>4352980025</v>
      </c>
      <c r="D26" s="15" t="s">
        <v>304</v>
      </c>
      <c r="E26" s="41" t="s">
        <v>292</v>
      </c>
      <c r="F26" s="41">
        <v>68</v>
      </c>
      <c r="G26" s="42">
        <v>4</v>
      </c>
    </row>
    <row r="27" spans="2:7" x14ac:dyDescent="0.45">
      <c r="B27" s="14" t="s">
        <v>305</v>
      </c>
      <c r="C27" s="36" t="s">
        <v>255</v>
      </c>
      <c r="D27" s="15" t="s">
        <v>306</v>
      </c>
      <c r="E27" s="41" t="s">
        <v>292</v>
      </c>
      <c r="F27" s="41">
        <v>35</v>
      </c>
      <c r="G27" s="42">
        <v>3</v>
      </c>
    </row>
    <row r="28" spans="2:7" x14ac:dyDescent="0.45">
      <c r="B28" s="14" t="s">
        <v>305</v>
      </c>
      <c r="C28" s="24" t="s">
        <v>256</v>
      </c>
      <c r="D28" s="15" t="s">
        <v>307</v>
      </c>
      <c r="E28" s="41" t="s">
        <v>292</v>
      </c>
      <c r="F28" s="41">
        <v>25</v>
      </c>
      <c r="G28" s="42">
        <v>0</v>
      </c>
    </row>
    <row r="29" spans="2:7" x14ac:dyDescent="0.45">
      <c r="B29" s="14" t="s">
        <v>308</v>
      </c>
      <c r="C29" s="24">
        <v>4370201123</v>
      </c>
      <c r="D29" s="15" t="s">
        <v>165</v>
      </c>
      <c r="E29" s="41">
        <v>0</v>
      </c>
      <c r="F29" s="41">
        <v>18</v>
      </c>
      <c r="G29" s="42">
        <v>0</v>
      </c>
    </row>
    <row r="30" spans="2:7" x14ac:dyDescent="0.45">
      <c r="B30" s="14" t="s">
        <v>309</v>
      </c>
      <c r="C30" s="24">
        <v>4370203004</v>
      </c>
      <c r="D30" s="15" t="s">
        <v>166</v>
      </c>
      <c r="E30" s="41">
        <v>0</v>
      </c>
      <c r="F30" s="41">
        <v>27</v>
      </c>
      <c r="G30" s="42">
        <v>0</v>
      </c>
    </row>
    <row r="31" spans="2:7" x14ac:dyDescent="0.45">
      <c r="B31" s="14" t="s">
        <v>309</v>
      </c>
      <c r="C31" s="24">
        <v>4370202899</v>
      </c>
      <c r="D31" s="15" t="s">
        <v>310</v>
      </c>
      <c r="E31" s="41" t="s">
        <v>292</v>
      </c>
      <c r="F31" s="41">
        <v>49</v>
      </c>
      <c r="G31" s="42">
        <v>21</v>
      </c>
    </row>
    <row r="32" spans="2:7" x14ac:dyDescent="0.45">
      <c r="B32" s="14" t="s">
        <v>309</v>
      </c>
      <c r="C32" s="24">
        <v>4370203442</v>
      </c>
      <c r="D32" s="15" t="s">
        <v>311</v>
      </c>
      <c r="E32" s="41" t="s">
        <v>292</v>
      </c>
      <c r="F32" s="41">
        <v>37</v>
      </c>
      <c r="G32" s="42">
        <v>0</v>
      </c>
    </row>
    <row r="33" spans="2:7" x14ac:dyDescent="0.45">
      <c r="B33" s="14" t="s">
        <v>312</v>
      </c>
      <c r="C33" s="24">
        <v>4390200188</v>
      </c>
      <c r="D33" s="15" t="s">
        <v>313</v>
      </c>
      <c r="E33" s="41" t="s">
        <v>292</v>
      </c>
      <c r="F33" s="41">
        <v>25</v>
      </c>
      <c r="G33" s="42">
        <v>0</v>
      </c>
    </row>
    <row r="34" spans="2:7" x14ac:dyDescent="0.45">
      <c r="B34" s="14" t="s">
        <v>314</v>
      </c>
      <c r="C34" s="15">
        <v>4360290003</v>
      </c>
      <c r="D34" s="15" t="s">
        <v>169</v>
      </c>
      <c r="E34" s="41">
        <v>0</v>
      </c>
      <c r="F34" s="41">
        <v>9</v>
      </c>
      <c r="G34" s="42">
        <v>11</v>
      </c>
    </row>
    <row r="35" spans="2:7" x14ac:dyDescent="0.45">
      <c r="B35" s="14" t="s">
        <v>314</v>
      </c>
      <c r="C35" s="15">
        <v>4370200984</v>
      </c>
      <c r="D35" s="15" t="s">
        <v>315</v>
      </c>
      <c r="E35" s="41" t="s">
        <v>292</v>
      </c>
      <c r="F35" s="41">
        <v>9</v>
      </c>
      <c r="G35" s="42">
        <v>2</v>
      </c>
    </row>
    <row r="36" spans="2:7" x14ac:dyDescent="0.45">
      <c r="B36" s="14" t="s">
        <v>314</v>
      </c>
      <c r="C36" s="15">
        <v>4370201008</v>
      </c>
      <c r="D36" s="15" t="s">
        <v>316</v>
      </c>
      <c r="E36" s="41" t="s">
        <v>292</v>
      </c>
      <c r="F36" s="41">
        <v>18</v>
      </c>
      <c r="G36" s="42">
        <v>12</v>
      </c>
    </row>
    <row r="37" spans="2:7" x14ac:dyDescent="0.45">
      <c r="B37" s="14" t="s">
        <v>314</v>
      </c>
      <c r="C37" s="15">
        <v>4370201446</v>
      </c>
      <c r="D37" s="15" t="s">
        <v>317</v>
      </c>
      <c r="E37" s="41" t="s">
        <v>292</v>
      </c>
      <c r="F37" s="41">
        <v>17</v>
      </c>
      <c r="G37" s="42">
        <v>2</v>
      </c>
    </row>
    <row r="38" spans="2:7" x14ac:dyDescent="0.45">
      <c r="B38" s="14" t="s">
        <v>314</v>
      </c>
      <c r="C38" s="24">
        <v>4372900698</v>
      </c>
      <c r="D38" s="15" t="s">
        <v>318</v>
      </c>
      <c r="E38" s="41" t="s">
        <v>292</v>
      </c>
      <c r="F38" s="41">
        <v>18</v>
      </c>
      <c r="G38" s="42">
        <v>7</v>
      </c>
    </row>
    <row r="39" spans="2:7" x14ac:dyDescent="0.45">
      <c r="B39" s="14" t="s">
        <v>314</v>
      </c>
      <c r="C39" s="24">
        <v>4372900748</v>
      </c>
      <c r="D39" s="15" t="s">
        <v>170</v>
      </c>
      <c r="E39" s="41" t="s">
        <v>292</v>
      </c>
      <c r="F39" s="41">
        <v>17</v>
      </c>
      <c r="G39" s="42">
        <v>3</v>
      </c>
    </row>
    <row r="40" spans="2:7" x14ac:dyDescent="0.45">
      <c r="B40" s="14" t="s">
        <v>314</v>
      </c>
      <c r="C40" s="15">
        <v>4372900755</v>
      </c>
      <c r="D40" s="15" t="s">
        <v>319</v>
      </c>
      <c r="E40" s="41" t="s">
        <v>292</v>
      </c>
      <c r="F40" s="41">
        <v>8</v>
      </c>
      <c r="G40" s="42">
        <v>9</v>
      </c>
    </row>
    <row r="41" spans="2:7" x14ac:dyDescent="0.45">
      <c r="B41" s="14" t="s">
        <v>314</v>
      </c>
      <c r="C41" s="15">
        <v>4390200014</v>
      </c>
      <c r="D41" s="15" t="s">
        <v>320</v>
      </c>
      <c r="E41" s="41" t="s">
        <v>292</v>
      </c>
      <c r="F41" s="41" t="s">
        <v>321</v>
      </c>
      <c r="G41" s="42" t="s">
        <v>321</v>
      </c>
    </row>
    <row r="42" spans="2:7" x14ac:dyDescent="0.45">
      <c r="B42" s="14" t="s">
        <v>314</v>
      </c>
      <c r="C42" s="15">
        <v>4390200097</v>
      </c>
      <c r="D42" s="15" t="s">
        <v>322</v>
      </c>
      <c r="E42" s="41" t="s">
        <v>292</v>
      </c>
      <c r="F42" s="41">
        <v>8</v>
      </c>
      <c r="G42" s="42">
        <v>0</v>
      </c>
    </row>
    <row r="43" spans="2:7" x14ac:dyDescent="0.45">
      <c r="B43" s="14" t="s">
        <v>314</v>
      </c>
      <c r="C43" s="15">
        <v>4390200063</v>
      </c>
      <c r="D43" s="15" t="s">
        <v>323</v>
      </c>
      <c r="E43" s="41" t="s">
        <v>292</v>
      </c>
      <c r="F43" s="41">
        <v>8</v>
      </c>
      <c r="G43" s="42">
        <v>0</v>
      </c>
    </row>
    <row r="44" spans="2:7" x14ac:dyDescent="0.45">
      <c r="B44" s="14" t="s">
        <v>314</v>
      </c>
      <c r="C44" s="15">
        <v>4390200147</v>
      </c>
      <c r="D44" s="15" t="s">
        <v>324</v>
      </c>
      <c r="E44" s="41" t="s">
        <v>292</v>
      </c>
      <c r="F44" s="41">
        <v>9</v>
      </c>
      <c r="G44" s="42">
        <v>10</v>
      </c>
    </row>
    <row r="45" spans="2:7" x14ac:dyDescent="0.45">
      <c r="B45" s="14" t="s">
        <v>314</v>
      </c>
      <c r="C45" s="15">
        <v>4390200204</v>
      </c>
      <c r="D45" s="15" t="s">
        <v>325</v>
      </c>
      <c r="E45" s="41">
        <v>0</v>
      </c>
      <c r="F45" s="41">
        <v>9</v>
      </c>
      <c r="G45" s="42">
        <v>10</v>
      </c>
    </row>
    <row r="46" spans="2:7" x14ac:dyDescent="0.45">
      <c r="B46" s="14" t="s">
        <v>314</v>
      </c>
      <c r="C46" s="15">
        <v>4390200253</v>
      </c>
      <c r="D46" s="15" t="s">
        <v>326</v>
      </c>
      <c r="E46" s="41" t="s">
        <v>292</v>
      </c>
      <c r="F46" s="41">
        <v>9</v>
      </c>
      <c r="G46" s="42">
        <v>1</v>
      </c>
    </row>
    <row r="47" spans="2:7" x14ac:dyDescent="0.45">
      <c r="B47" s="14" t="s">
        <v>314</v>
      </c>
      <c r="C47" s="15">
        <v>4390200238</v>
      </c>
      <c r="D47" s="15" t="s">
        <v>175</v>
      </c>
      <c r="E47" s="41" t="s">
        <v>292</v>
      </c>
      <c r="F47" s="41">
        <v>9</v>
      </c>
      <c r="G47" s="42">
        <v>12</v>
      </c>
    </row>
    <row r="48" spans="2:7" x14ac:dyDescent="0.45">
      <c r="B48" s="14" t="s">
        <v>314</v>
      </c>
      <c r="C48" s="15">
        <v>4390200246</v>
      </c>
      <c r="D48" s="15" t="s">
        <v>327</v>
      </c>
      <c r="E48" s="41">
        <v>0</v>
      </c>
      <c r="F48" s="41">
        <v>9</v>
      </c>
      <c r="G48" s="42">
        <v>6</v>
      </c>
    </row>
    <row r="49" spans="2:7" x14ac:dyDescent="0.45">
      <c r="B49" s="14" t="s">
        <v>314</v>
      </c>
      <c r="C49" s="15">
        <v>4390200220</v>
      </c>
      <c r="D49" s="15" t="s">
        <v>328</v>
      </c>
      <c r="E49" s="41" t="s">
        <v>292</v>
      </c>
      <c r="F49" s="41">
        <v>9</v>
      </c>
      <c r="G49" s="42">
        <v>0</v>
      </c>
    </row>
    <row r="50" spans="2:7" x14ac:dyDescent="0.45">
      <c r="B50" s="14" t="s">
        <v>314</v>
      </c>
      <c r="C50" s="15">
        <v>4390200352</v>
      </c>
      <c r="D50" s="15" t="s">
        <v>329</v>
      </c>
      <c r="E50" s="41">
        <v>0</v>
      </c>
      <c r="F50" s="41">
        <v>7</v>
      </c>
      <c r="G50" s="42">
        <v>2</v>
      </c>
    </row>
    <row r="51" spans="2:7" x14ac:dyDescent="0.45">
      <c r="B51" s="14" t="s">
        <v>314</v>
      </c>
      <c r="C51" s="15">
        <v>4390200410</v>
      </c>
      <c r="D51" s="15" t="s">
        <v>330</v>
      </c>
      <c r="E51" s="41">
        <v>0</v>
      </c>
      <c r="F51" s="41">
        <v>9</v>
      </c>
      <c r="G51" s="42">
        <v>3</v>
      </c>
    </row>
    <row r="52" spans="2:7" x14ac:dyDescent="0.45">
      <c r="B52" s="14" t="s">
        <v>314</v>
      </c>
      <c r="C52" s="15">
        <v>4390200519</v>
      </c>
      <c r="D52" s="15" t="s">
        <v>331</v>
      </c>
      <c r="E52" s="41" t="s">
        <v>292</v>
      </c>
      <c r="F52" s="41">
        <v>9</v>
      </c>
      <c r="G52" s="42">
        <v>3</v>
      </c>
    </row>
    <row r="53" spans="2:7" x14ac:dyDescent="0.45">
      <c r="B53" s="14" t="s">
        <v>314</v>
      </c>
      <c r="C53" s="15">
        <v>4390200592</v>
      </c>
      <c r="D53" s="15" t="s">
        <v>329</v>
      </c>
      <c r="E53" s="41" t="s">
        <v>292</v>
      </c>
      <c r="F53" s="41">
        <v>9</v>
      </c>
      <c r="G53" s="42">
        <v>3</v>
      </c>
    </row>
    <row r="54" spans="2:7" x14ac:dyDescent="0.45">
      <c r="B54" s="14" t="s">
        <v>314</v>
      </c>
      <c r="C54" s="15">
        <v>4390200584</v>
      </c>
      <c r="D54" s="15" t="s">
        <v>327</v>
      </c>
      <c r="E54" s="41" t="s">
        <v>292</v>
      </c>
      <c r="F54" s="41">
        <v>9</v>
      </c>
      <c r="G54" s="42">
        <v>2</v>
      </c>
    </row>
    <row r="55" spans="2:7" x14ac:dyDescent="0.45">
      <c r="B55" s="14" t="s">
        <v>314</v>
      </c>
      <c r="C55" s="15">
        <v>4390200600</v>
      </c>
      <c r="D55" s="15" t="s">
        <v>330</v>
      </c>
      <c r="E55" s="41" t="s">
        <v>292</v>
      </c>
      <c r="F55" s="41">
        <v>8</v>
      </c>
      <c r="G55" s="42">
        <v>4</v>
      </c>
    </row>
    <row r="56" spans="2:7" x14ac:dyDescent="0.45">
      <c r="B56" s="14" t="s">
        <v>332</v>
      </c>
      <c r="C56" s="15">
        <v>4390200022</v>
      </c>
      <c r="D56" s="15" t="s">
        <v>182</v>
      </c>
      <c r="E56" s="41">
        <v>23</v>
      </c>
      <c r="F56" s="41" t="s">
        <v>292</v>
      </c>
      <c r="G56" s="42" t="s">
        <v>292</v>
      </c>
    </row>
    <row r="57" spans="2:7" x14ac:dyDescent="0.45">
      <c r="B57" s="14" t="s">
        <v>332</v>
      </c>
      <c r="C57" s="15">
        <v>4390200048</v>
      </c>
      <c r="D57" s="15" t="s">
        <v>333</v>
      </c>
      <c r="E57" s="41">
        <v>25</v>
      </c>
      <c r="F57" s="41" t="s">
        <v>292</v>
      </c>
      <c r="G57" s="42" t="s">
        <v>292</v>
      </c>
    </row>
    <row r="58" spans="2:7" x14ac:dyDescent="0.45">
      <c r="B58" s="14" t="s">
        <v>332</v>
      </c>
      <c r="C58" s="15">
        <v>4390200527</v>
      </c>
      <c r="D58" s="15" t="s">
        <v>334</v>
      </c>
      <c r="E58" s="41">
        <v>18</v>
      </c>
      <c r="F58" s="41">
        <v>0</v>
      </c>
      <c r="G58" s="42">
        <v>0</v>
      </c>
    </row>
    <row r="59" spans="2:7" x14ac:dyDescent="0.45">
      <c r="B59" s="14" t="s">
        <v>332</v>
      </c>
      <c r="C59" s="15">
        <v>4390200071</v>
      </c>
      <c r="D59" s="15" t="s">
        <v>335</v>
      </c>
      <c r="E59" s="41">
        <v>26</v>
      </c>
      <c r="F59" s="41" t="s">
        <v>292</v>
      </c>
      <c r="G59" s="42" t="s">
        <v>292</v>
      </c>
    </row>
    <row r="60" spans="2:7" x14ac:dyDescent="0.45">
      <c r="B60" s="14" t="s">
        <v>332</v>
      </c>
      <c r="C60" s="15">
        <v>4390200105</v>
      </c>
      <c r="D60" s="15" t="s">
        <v>183</v>
      </c>
      <c r="E60" s="41">
        <v>28</v>
      </c>
      <c r="F60" s="41">
        <v>0</v>
      </c>
      <c r="G60" s="42">
        <v>0</v>
      </c>
    </row>
    <row r="61" spans="2:7" x14ac:dyDescent="0.45">
      <c r="B61" s="14" t="s">
        <v>332</v>
      </c>
      <c r="C61" s="15">
        <v>4390200113</v>
      </c>
      <c r="D61" s="15" t="s">
        <v>336</v>
      </c>
      <c r="E61" s="41">
        <v>28</v>
      </c>
      <c r="F61" s="41" t="s">
        <v>292</v>
      </c>
      <c r="G61" s="42" t="s">
        <v>292</v>
      </c>
    </row>
    <row r="62" spans="2:7" x14ac:dyDescent="0.45">
      <c r="B62" s="14" t="s">
        <v>332</v>
      </c>
      <c r="C62" s="15">
        <v>4390200121</v>
      </c>
      <c r="D62" s="15" t="s">
        <v>337</v>
      </c>
      <c r="E62" s="41">
        <v>27</v>
      </c>
      <c r="F62" s="41" t="s">
        <v>292</v>
      </c>
      <c r="G62" s="42" t="s">
        <v>292</v>
      </c>
    </row>
    <row r="63" spans="2:7" x14ac:dyDescent="0.45">
      <c r="B63" s="14" t="s">
        <v>332</v>
      </c>
      <c r="C63" s="15">
        <v>4390200485</v>
      </c>
      <c r="D63" s="15" t="s">
        <v>338</v>
      </c>
      <c r="E63" s="41" t="e">
        <v>#N/A</v>
      </c>
      <c r="F63" s="41" t="s">
        <v>321</v>
      </c>
      <c r="G63" s="42" t="s">
        <v>321</v>
      </c>
    </row>
    <row r="64" spans="2:7" x14ac:dyDescent="0.45">
      <c r="B64" s="14" t="s">
        <v>332</v>
      </c>
      <c r="C64" s="15">
        <v>4390200493</v>
      </c>
      <c r="D64" s="15" t="s">
        <v>339</v>
      </c>
      <c r="E64" s="41">
        <v>28</v>
      </c>
      <c r="F64" s="41">
        <v>0</v>
      </c>
      <c r="G64" s="42">
        <v>0</v>
      </c>
    </row>
    <row r="65" spans="2:7" x14ac:dyDescent="0.45">
      <c r="B65" s="14" t="s">
        <v>340</v>
      </c>
      <c r="C65" s="24">
        <v>4390200295</v>
      </c>
      <c r="D65" s="15" t="s">
        <v>341</v>
      </c>
      <c r="E65" s="41">
        <v>24</v>
      </c>
      <c r="F65" s="41" t="s">
        <v>292</v>
      </c>
      <c r="G65" s="42" t="s">
        <v>292</v>
      </c>
    </row>
    <row r="66" spans="2:7" ht="18.600000000000001" thickBot="1" x14ac:dyDescent="0.5">
      <c r="B66" s="37" t="s">
        <v>340</v>
      </c>
      <c r="C66" s="38">
        <v>4390200501</v>
      </c>
      <c r="D66" s="39" t="s">
        <v>342</v>
      </c>
      <c r="E66" s="43">
        <v>24</v>
      </c>
      <c r="F66" s="43" t="s">
        <v>292</v>
      </c>
      <c r="G66" s="44" t="s">
        <v>292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EED1-13DF-467F-BEA4-5721593CADD2}">
  <dimension ref="A1:Q76"/>
  <sheetViews>
    <sheetView topLeftCell="A22" workbookViewId="0">
      <selection activeCell="M33" sqref="M33"/>
    </sheetView>
  </sheetViews>
  <sheetFormatPr defaultRowHeight="18" x14ac:dyDescent="0.45"/>
  <cols>
    <col min="1" max="2" width="11.59765625" bestFit="1" customWidth="1"/>
    <col min="3" max="3" width="5" customWidth="1"/>
    <col min="4" max="4" width="14.59765625" customWidth="1"/>
    <col min="15" max="15" width="11.69921875" customWidth="1"/>
  </cols>
  <sheetData>
    <row r="1" spans="1:17" x14ac:dyDescent="0.45">
      <c r="C1" s="27"/>
      <c r="D1" s="28" t="s">
        <v>40</v>
      </c>
      <c r="E1" s="28" t="s">
        <v>41</v>
      </c>
      <c r="F1" s="28" t="s">
        <v>42</v>
      </c>
      <c r="G1" s="28" t="s">
        <v>43</v>
      </c>
      <c r="H1" s="29" t="s">
        <v>44</v>
      </c>
      <c r="I1" t="s">
        <v>45</v>
      </c>
      <c r="J1" t="s">
        <v>46</v>
      </c>
      <c r="K1" s="50" t="s">
        <v>262</v>
      </c>
      <c r="L1" s="50"/>
      <c r="M1" s="50" t="s">
        <v>263</v>
      </c>
      <c r="N1" s="50"/>
      <c r="O1" s="1"/>
      <c r="Q1" t="s">
        <v>196</v>
      </c>
    </row>
    <row r="2" spans="1:17" x14ac:dyDescent="0.45">
      <c r="C2" s="30" t="s">
        <v>158</v>
      </c>
      <c r="H2" s="31"/>
      <c r="P2">
        <v>1</v>
      </c>
      <c r="Q2" t="s">
        <v>150</v>
      </c>
    </row>
    <row r="3" spans="1:17" x14ac:dyDescent="0.45">
      <c r="C3" s="30" t="s">
        <v>159</v>
      </c>
      <c r="H3" s="31"/>
      <c r="P3">
        <v>2</v>
      </c>
      <c r="Q3" t="s">
        <v>151</v>
      </c>
    </row>
    <row r="4" spans="1:17" x14ac:dyDescent="0.45">
      <c r="A4">
        <v>4370200380</v>
      </c>
      <c r="C4" s="32" t="s">
        <v>0</v>
      </c>
      <c r="D4" t="s">
        <v>1</v>
      </c>
      <c r="E4" t="s">
        <v>197</v>
      </c>
      <c r="F4" t="s">
        <v>2</v>
      </c>
      <c r="G4" t="s">
        <v>3</v>
      </c>
      <c r="H4" s="31">
        <v>50</v>
      </c>
      <c r="I4" s="40">
        <f>IF(ISERROR(VLOOKUP($A4,データ貼付けシート!$C$3:$G$66,4,FALSE)),0,VLOOKUP($A4,データ貼付けシート!$C$3:$G$66,4,FALSE))</f>
        <v>49</v>
      </c>
      <c r="J4" s="40">
        <f>IF(ISERROR(VLOOKUP($A4,データ貼付けシート!$C$3:$G$66,5,FALSE)),0,VLOOKUP($A4,データ貼付けシート!$C$3:$G$66,5,FALSE))</f>
        <v>104</v>
      </c>
      <c r="P4">
        <v>3</v>
      </c>
      <c r="Q4" t="s">
        <v>189</v>
      </c>
    </row>
    <row r="5" spans="1:17" x14ac:dyDescent="0.45">
      <c r="A5">
        <v>4370200356</v>
      </c>
      <c r="C5" s="32" t="s">
        <v>4</v>
      </c>
      <c r="D5" t="s">
        <v>5</v>
      </c>
      <c r="E5" t="s">
        <v>198</v>
      </c>
      <c r="F5" t="s">
        <v>6</v>
      </c>
      <c r="G5" t="s">
        <v>7</v>
      </c>
      <c r="H5" s="31">
        <v>60</v>
      </c>
      <c r="I5">
        <f>IF(ISERROR(VLOOKUP($A5,データ貼付けシート!$C$3:$G$66,4,FALSE)),0,VLOOKUP($A5,データ貼付けシート!$C$3:$G$66,4,FALSE))</f>
        <v>59</v>
      </c>
      <c r="J5">
        <f>IF(ISERROR(VLOOKUP($A5,データ貼付けシート!$C$3:$G$66,5,FALSE)),0,VLOOKUP($A5,データ貼付けシート!$C$3:$G$66,5,FALSE))</f>
        <v>69</v>
      </c>
      <c r="P5">
        <v>4</v>
      </c>
      <c r="Q5" t="s">
        <v>190</v>
      </c>
    </row>
    <row r="6" spans="1:17" x14ac:dyDescent="0.45">
      <c r="A6">
        <v>4370200414</v>
      </c>
      <c r="C6" s="32" t="s">
        <v>8</v>
      </c>
      <c r="D6" t="s">
        <v>9</v>
      </c>
      <c r="E6" t="s">
        <v>199</v>
      </c>
      <c r="F6" t="s">
        <v>10</v>
      </c>
      <c r="G6" t="s">
        <v>11</v>
      </c>
      <c r="H6" s="31">
        <v>50</v>
      </c>
      <c r="I6">
        <f>IF(ISERROR(VLOOKUP($A6,データ貼付けシート!$C$3:$G$66,4,FALSE)),0,VLOOKUP($A6,データ貼付けシート!$C$3:$G$66,4,FALSE))</f>
        <v>49</v>
      </c>
      <c r="J6">
        <f>IF(ISERROR(VLOOKUP($A6,データ貼付けシート!$C$3:$G$66,5,FALSE)),0,VLOOKUP($A6,データ貼付けシート!$C$3:$G$66,5,FALSE))</f>
        <v>70</v>
      </c>
      <c r="P6">
        <v>5</v>
      </c>
      <c r="Q6" t="s">
        <v>191</v>
      </c>
    </row>
    <row r="7" spans="1:17" x14ac:dyDescent="0.45">
      <c r="A7">
        <v>4370200406</v>
      </c>
      <c r="C7" s="32" t="s">
        <v>12</v>
      </c>
      <c r="D7" t="s">
        <v>13</v>
      </c>
      <c r="E7" t="s">
        <v>200</v>
      </c>
      <c r="F7" t="s">
        <v>14</v>
      </c>
      <c r="G7" t="s">
        <v>15</v>
      </c>
      <c r="H7" s="31">
        <v>50</v>
      </c>
      <c r="I7">
        <f>IF(ISERROR(VLOOKUP($A7,データ貼付けシート!$C$3:$G$66,4,FALSE)),0,VLOOKUP($A7,データ貼付けシート!$C$3:$G$66,4,FALSE))</f>
        <v>47</v>
      </c>
      <c r="J7">
        <f>IF(ISERROR(VLOOKUP($A7,データ貼付けシート!$C$3:$G$66,5,FALSE)),0,VLOOKUP($A7,データ貼付けシート!$C$3:$G$66,5,FALSE))</f>
        <v>56</v>
      </c>
      <c r="P7">
        <v>6</v>
      </c>
      <c r="Q7" t="s">
        <v>192</v>
      </c>
    </row>
    <row r="8" spans="1:17" x14ac:dyDescent="0.45">
      <c r="A8">
        <v>4370200398</v>
      </c>
      <c r="C8" s="32" t="s">
        <v>16</v>
      </c>
      <c r="D8" t="s">
        <v>17</v>
      </c>
      <c r="E8" t="s">
        <v>201</v>
      </c>
      <c r="F8" t="s">
        <v>18</v>
      </c>
      <c r="G8" t="s">
        <v>19</v>
      </c>
      <c r="H8" s="31">
        <v>50</v>
      </c>
      <c r="I8">
        <f>IF(ISERROR(VLOOKUP($A8,データ貼付けシート!$C$3:$G$66,4,FALSE)),0,VLOOKUP($A8,データ貼付けシート!$C$3:$G$66,4,FALSE))</f>
        <v>50</v>
      </c>
      <c r="J8">
        <f>IF(ISERROR(VLOOKUP($A8,データ貼付けシート!$C$3:$G$66,5,FALSE)),0,VLOOKUP($A8,データ貼付けシート!$C$3:$G$66,5,FALSE))</f>
        <v>120</v>
      </c>
      <c r="P8">
        <v>7</v>
      </c>
      <c r="Q8" t="s">
        <v>195</v>
      </c>
    </row>
    <row r="9" spans="1:17" x14ac:dyDescent="0.45">
      <c r="A9">
        <v>4372900797</v>
      </c>
      <c r="C9" s="32" t="s">
        <v>20</v>
      </c>
      <c r="D9" t="s">
        <v>21</v>
      </c>
      <c r="E9" t="s">
        <v>202</v>
      </c>
      <c r="F9" t="s">
        <v>22</v>
      </c>
      <c r="G9" t="s">
        <v>23</v>
      </c>
      <c r="H9" s="31">
        <v>50</v>
      </c>
      <c r="I9">
        <f>IF(ISERROR(VLOOKUP($A9,データ貼付けシート!$C$3:$G$66,4,FALSE)),0,VLOOKUP($A9,データ貼付けシート!$C$3:$G$66,4,FALSE))</f>
        <v>49</v>
      </c>
      <c r="J9">
        <f>IF(ISERROR(VLOOKUP($A9,データ貼付けシート!$C$3:$G$66,5,FALSE)),0,VLOOKUP($A9,データ貼付けシート!$C$3:$G$66,5,FALSE))</f>
        <v>15</v>
      </c>
      <c r="P9">
        <v>8</v>
      </c>
      <c r="Q9" t="s">
        <v>193</v>
      </c>
    </row>
    <row r="10" spans="1:17" x14ac:dyDescent="0.45">
      <c r="A10">
        <v>4372900334</v>
      </c>
      <c r="C10" s="32" t="s">
        <v>24</v>
      </c>
      <c r="D10" t="s">
        <v>25</v>
      </c>
      <c r="E10" t="s">
        <v>203</v>
      </c>
      <c r="F10" t="s">
        <v>26</v>
      </c>
      <c r="G10" t="s">
        <v>27</v>
      </c>
      <c r="H10" s="31">
        <v>50</v>
      </c>
      <c r="I10">
        <f>IF(ISERROR(VLOOKUP($A10,データ貼付けシート!$C$3:$G$66,4,FALSE)),0,VLOOKUP($A10,データ貼付けシート!$C$3:$G$66,4,FALSE))</f>
        <v>49</v>
      </c>
      <c r="J10">
        <f>IF(ISERROR(VLOOKUP($A10,データ貼付けシート!$C$3:$G$66,5,FALSE)),0,VLOOKUP($A10,データ貼付けシート!$C$3:$G$66,5,FALSE))</f>
        <v>73</v>
      </c>
      <c r="P10">
        <v>9</v>
      </c>
      <c r="Q10" t="s">
        <v>194</v>
      </c>
    </row>
    <row r="11" spans="1:17" x14ac:dyDescent="0.45">
      <c r="A11">
        <v>4370202634</v>
      </c>
      <c r="B11">
        <v>4372900664</v>
      </c>
      <c r="C11" s="32" t="s">
        <v>28</v>
      </c>
      <c r="D11" t="s">
        <v>29</v>
      </c>
      <c r="E11" t="s">
        <v>204</v>
      </c>
      <c r="F11" t="s">
        <v>30</v>
      </c>
      <c r="G11" t="s">
        <v>31</v>
      </c>
      <c r="H11" s="31">
        <v>80</v>
      </c>
      <c r="I11">
        <f>SUM(K11,M11)</f>
        <v>80</v>
      </c>
      <c r="J11">
        <f>SUM(L11,N11)</f>
        <v>102</v>
      </c>
      <c r="K11" s="22">
        <f>IF(ISERROR(VLOOKUP($A11,データ貼付けシート!$C$3:$G$63,4,FALSE)),0,VLOOKUP($A11,データ貼付けシート!$C$3:$G$63,4,FALSE))</f>
        <v>0</v>
      </c>
      <c r="L11" s="22">
        <f>IF(ISERROR(VLOOKUP($A11,データ貼付けシート!$C$3:$G$63,5,FALSE)),0,VLOOKUP($A11,データ貼付けシート!$C$3:$G$63,5,FALSE))</f>
        <v>0</v>
      </c>
      <c r="M11" s="22">
        <f>IF(ISERROR(VLOOKUP($B11,データ貼付けシート!$C$3:$G$63,4,FALSE)),0,VLOOKUP($B11,データ貼付けシート!$C$3:$G$63,4,FALSE))</f>
        <v>80</v>
      </c>
      <c r="N11" s="22">
        <f>IF(ISERROR(VLOOKUP($B11,データ貼付けシート!$C$3:$G$63,5,FALSE)),0,VLOOKUP($B11,データ貼付けシート!$C$3:$G$63,5,FALSE))</f>
        <v>102</v>
      </c>
    </row>
    <row r="12" spans="1:17" x14ac:dyDescent="0.45">
      <c r="A12">
        <v>4372900367</v>
      </c>
      <c r="C12" s="32" t="s">
        <v>32</v>
      </c>
      <c r="D12" t="s">
        <v>33</v>
      </c>
      <c r="E12" t="s">
        <v>205</v>
      </c>
      <c r="F12" t="s">
        <v>34</v>
      </c>
      <c r="G12" t="s">
        <v>35</v>
      </c>
      <c r="H12" s="31">
        <v>30</v>
      </c>
      <c r="I12">
        <f>IF(ISERROR(VLOOKUP($A12,データ貼付けシート!$C$3:$G$66,4,FALSE)),0,VLOOKUP($A12,データ貼付けシート!$C$3:$G$66,4,FALSE))</f>
        <v>30</v>
      </c>
      <c r="J12">
        <f>IF(ISERROR(VLOOKUP($A12,データ貼付けシート!$C$3:$G$66,5,FALSE)),0,VLOOKUP($A12,データ貼付けシート!$C$3:$G$66,5,FALSE))</f>
        <v>56</v>
      </c>
    </row>
    <row r="13" spans="1:17" x14ac:dyDescent="0.45">
      <c r="A13">
        <v>4370202071</v>
      </c>
      <c r="C13" s="32">
        <v>10</v>
      </c>
      <c r="D13" t="s">
        <v>36</v>
      </c>
      <c r="E13" t="s">
        <v>37</v>
      </c>
      <c r="F13" t="s">
        <v>38</v>
      </c>
      <c r="G13" t="s">
        <v>7</v>
      </c>
      <c r="H13" s="31">
        <v>60</v>
      </c>
      <c r="I13">
        <f>IF(ISERROR(VLOOKUP($A13,データ貼付けシート!$C$3:$G$66,4,FALSE)),0,VLOOKUP($A13,データ貼付けシート!$C$3:$G$66,4,FALSE))</f>
        <v>60</v>
      </c>
      <c r="J13">
        <f>IF(ISERROR(VLOOKUP($A13,データ貼付けシート!$C$3:$G$66,5,FALSE)),0,VLOOKUP($A13,データ貼付けシート!$C$3:$G$66,5,FALSE))</f>
        <v>42</v>
      </c>
    </row>
    <row r="14" spans="1:17" x14ac:dyDescent="0.45">
      <c r="C14" s="30" t="s">
        <v>160</v>
      </c>
      <c r="H14" s="31"/>
    </row>
    <row r="15" spans="1:17" x14ac:dyDescent="0.45">
      <c r="C15" s="30" t="s">
        <v>265</v>
      </c>
      <c r="D15" s="1"/>
      <c r="H15" s="31"/>
    </row>
    <row r="16" spans="1:17" x14ac:dyDescent="0.45">
      <c r="A16">
        <v>4390200162</v>
      </c>
      <c r="C16" s="32" t="s">
        <v>0</v>
      </c>
      <c r="D16" t="s">
        <v>51</v>
      </c>
      <c r="E16" t="s">
        <v>206</v>
      </c>
      <c r="F16" t="s">
        <v>152</v>
      </c>
      <c r="G16" t="s">
        <v>52</v>
      </c>
      <c r="H16" s="31">
        <v>29</v>
      </c>
      <c r="I16">
        <f>IF(ISERROR(VLOOKUP($A16,データ貼付けシート!$C$3:$G$66,4,FALSE)),0,VLOOKUP($A16,データ貼付けシート!$C$3:$G$66,4,FALSE))</f>
        <v>29</v>
      </c>
      <c r="J16">
        <f>IF(ISERROR(VLOOKUP($A16,データ貼付けシート!$C$3:$G$66,5,FALSE)),0,VLOOKUP($A16,データ貼付けシート!$C$3:$G$66,5,FALSE))</f>
        <v>28</v>
      </c>
    </row>
    <row r="17" spans="1:14" x14ac:dyDescent="0.45">
      <c r="A17">
        <v>4390200261</v>
      </c>
      <c r="C17" s="32" t="s">
        <v>4</v>
      </c>
      <c r="D17" t="s">
        <v>53</v>
      </c>
      <c r="E17" t="s">
        <v>207</v>
      </c>
      <c r="F17" t="s">
        <v>153</v>
      </c>
      <c r="G17" t="s">
        <v>54</v>
      </c>
      <c r="H17" s="31">
        <v>29</v>
      </c>
      <c r="I17">
        <f>IF(ISERROR(VLOOKUP($A17,データ貼付けシート!$C$3:$G$66,4,FALSE)),0,VLOOKUP($A17,データ貼付けシート!$C$3:$G$66,4,FALSE))</f>
        <v>29</v>
      </c>
      <c r="J17">
        <f>IF(ISERROR(VLOOKUP($A17,データ貼付けシート!$C$3:$G$66,5,FALSE)),0,VLOOKUP($A17,データ貼付けシート!$C$3:$G$66,5,FALSE))</f>
        <v>35</v>
      </c>
    </row>
    <row r="18" spans="1:14" x14ac:dyDescent="0.45">
      <c r="A18">
        <v>4390200279</v>
      </c>
      <c r="C18" s="32" t="s">
        <v>8</v>
      </c>
      <c r="D18" t="s">
        <v>55</v>
      </c>
      <c r="E18" t="s">
        <v>208</v>
      </c>
      <c r="F18" t="s">
        <v>154</v>
      </c>
      <c r="G18" t="s">
        <v>56</v>
      </c>
      <c r="H18" s="31">
        <v>29</v>
      </c>
      <c r="I18">
        <f>IF(ISERROR(VLOOKUP($A18,データ貼付けシート!$C$3:$G$66,4,FALSE)),0,VLOOKUP($A18,データ貼付けシート!$C$3:$G$66,4,FALSE))</f>
        <v>29</v>
      </c>
      <c r="J18">
        <f>IF(ISERROR(VLOOKUP($A18,データ貼付けシート!$C$3:$G$66,5,FALSE)),0,VLOOKUP($A18,データ貼付けシート!$C$3:$G$66,5,FALSE))</f>
        <v>46</v>
      </c>
    </row>
    <row r="19" spans="1:14" x14ac:dyDescent="0.45">
      <c r="A19">
        <v>4390200378</v>
      </c>
      <c r="C19" s="32">
        <v>4</v>
      </c>
      <c r="D19" t="s">
        <v>57</v>
      </c>
      <c r="E19" t="s">
        <v>209</v>
      </c>
      <c r="F19" t="s">
        <v>155</v>
      </c>
      <c r="G19" t="s">
        <v>156</v>
      </c>
      <c r="H19" s="31">
        <v>29</v>
      </c>
      <c r="I19">
        <f>IF(ISERROR(VLOOKUP($A19,データ貼付けシート!$C$3:$G$66,4,FALSE)),0,VLOOKUP($A19,データ貼付けシート!$C$3:$G$66,4,FALSE))</f>
        <v>29</v>
      </c>
      <c r="J19">
        <f>IF(ISERROR(VLOOKUP($A19,データ貼付けシート!$C$3:$G$66,5,FALSE)),0,VLOOKUP($A19,データ貼付けシート!$C$3:$G$66,5,FALSE))</f>
        <v>102</v>
      </c>
    </row>
    <row r="20" spans="1:14" x14ac:dyDescent="0.45">
      <c r="A20">
        <v>4390200451</v>
      </c>
      <c r="C20" s="32">
        <v>5</v>
      </c>
      <c r="D20" t="s">
        <v>58</v>
      </c>
      <c r="E20" t="s">
        <v>59</v>
      </c>
      <c r="F20" t="s">
        <v>157</v>
      </c>
      <c r="G20" t="s">
        <v>60</v>
      </c>
      <c r="H20" s="31">
        <v>29</v>
      </c>
      <c r="I20">
        <f>IF(ISERROR(VLOOKUP($A20,データ貼付けシート!$C$3:$G$66,4,FALSE)),0,VLOOKUP($A20,データ貼付けシート!$C$3:$G$66,4,FALSE))</f>
        <v>26</v>
      </c>
      <c r="J20">
        <f>IF(ISERROR(VLOOKUP($A20,データ貼付けシート!$C$3:$G$66,5,FALSE)),0,VLOOKUP($A20,データ貼付けシート!$C$3:$G$66,5,FALSE))</f>
        <v>15</v>
      </c>
    </row>
    <row r="21" spans="1:14" x14ac:dyDescent="0.45">
      <c r="C21" s="30" t="s">
        <v>61</v>
      </c>
      <c r="H21" s="31"/>
    </row>
    <row r="22" spans="1:14" x14ac:dyDescent="0.45">
      <c r="C22" s="30" t="s">
        <v>161</v>
      </c>
      <c r="H22" s="31"/>
    </row>
    <row r="23" spans="1:14" x14ac:dyDescent="0.45">
      <c r="A23">
        <v>4350280048</v>
      </c>
      <c r="C23" s="32" t="s">
        <v>0</v>
      </c>
      <c r="D23" t="s">
        <v>62</v>
      </c>
      <c r="E23" t="s">
        <v>210</v>
      </c>
      <c r="F23" t="s">
        <v>63</v>
      </c>
      <c r="G23" t="s">
        <v>64</v>
      </c>
      <c r="H23" s="31">
        <v>75</v>
      </c>
      <c r="I23">
        <f>IF(ISERROR(VLOOKUP($A23,データ貼付けシート!$C$3:$G$66,4,FALSE)),0,VLOOKUP($A23,データ貼付けシート!$C$3:$G$66,4,FALSE))</f>
        <v>70</v>
      </c>
      <c r="J23">
        <f>IF(ISERROR(VLOOKUP($A23,データ貼付けシート!$C$3:$G$66,5,FALSE)),0,VLOOKUP($A23,データ貼付けシート!$C$3:$G$66,5,FALSE))</f>
        <v>3</v>
      </c>
    </row>
    <row r="24" spans="1:14" x14ac:dyDescent="0.45">
      <c r="A24">
        <v>4350280063</v>
      </c>
      <c r="B24">
        <v>4350280022</v>
      </c>
      <c r="C24" s="32" t="s">
        <v>4</v>
      </c>
      <c r="D24" t="s">
        <v>65</v>
      </c>
      <c r="E24" t="s">
        <v>211</v>
      </c>
      <c r="F24" t="s">
        <v>66</v>
      </c>
      <c r="G24" t="s">
        <v>67</v>
      </c>
      <c r="H24" s="31">
        <v>80</v>
      </c>
      <c r="I24">
        <f>SUM(K24,M24)</f>
        <v>80</v>
      </c>
      <c r="J24">
        <f>SUM(L24,N24)</f>
        <v>4</v>
      </c>
      <c r="K24" s="22">
        <f>IF(ISERROR(VLOOKUP($A24,データ貼付けシート!$C$3:$G$63,4,FALSE)),0,VLOOKUP($A24,データ貼付けシート!$C$3:$G$63,4,FALSE))</f>
        <v>0</v>
      </c>
      <c r="L24" s="22">
        <f>IF(ISERROR(VLOOKUP($A24,データ貼付けシート!$C$3:$G$63,5,FALSE)),0,VLOOKUP($A24,データ貼付けシート!$C$3:$G$63,5,FALSE))</f>
        <v>0</v>
      </c>
      <c r="M24" s="22">
        <f>IF(ISERROR(VLOOKUP($B24,データ貼付けシート!$C$3:$G$63,4,FALSE)),0,VLOOKUP($B24,データ貼付けシート!$C$3:$G$63,4,FALSE))</f>
        <v>80</v>
      </c>
      <c r="N24" s="22">
        <f>IF(ISERROR(VLOOKUP($B24,データ貼付けシート!$C$3:$G$63,5,FALSE)),0,VLOOKUP($B24,データ貼付けシート!$C$3:$G$63,5,FALSE))</f>
        <v>4</v>
      </c>
    </row>
    <row r="25" spans="1:14" x14ac:dyDescent="0.45">
      <c r="A25">
        <v>4350280030</v>
      </c>
      <c r="C25" s="32" t="s">
        <v>8</v>
      </c>
      <c r="D25" t="s">
        <v>68</v>
      </c>
      <c r="E25" t="s">
        <v>212</v>
      </c>
      <c r="F25" t="s">
        <v>69</v>
      </c>
      <c r="G25" t="s">
        <v>70</v>
      </c>
      <c r="H25" s="31">
        <v>85</v>
      </c>
      <c r="I25">
        <f>IF(ISERROR(VLOOKUP($A25,データ貼付けシート!$C$3:$G$66,4,FALSE)),0,VLOOKUP($A25,データ貼付けシート!$C$3:$G$66,4,FALSE))</f>
        <v>71</v>
      </c>
      <c r="J25">
        <f>IF(ISERROR(VLOOKUP($A25,データ貼付けシート!$C$3:$G$66,5,FALSE)),0,VLOOKUP($A25,データ貼付けシート!$C$3:$G$66,5,FALSE))</f>
        <v>5</v>
      </c>
    </row>
    <row r="26" spans="1:14" x14ac:dyDescent="0.45">
      <c r="A26">
        <v>4350280071</v>
      </c>
      <c r="B26">
        <v>4350280055</v>
      </c>
      <c r="C26" s="32" t="s">
        <v>12</v>
      </c>
      <c r="D26" t="s">
        <v>162</v>
      </c>
      <c r="E26" t="s">
        <v>213</v>
      </c>
      <c r="F26" t="s">
        <v>71</v>
      </c>
      <c r="G26" t="s">
        <v>72</v>
      </c>
      <c r="H26" s="31">
        <v>83</v>
      </c>
      <c r="I26">
        <f>IF(SUM(K26,M26)&gt;H26,M26,SUM(K26,M26))</f>
        <v>76</v>
      </c>
      <c r="J26">
        <f>IF(SUM(K26,M26)&gt;H26,N26,SUM(L26,N26))</f>
        <v>5</v>
      </c>
      <c r="K26" s="22">
        <f>IF(ISERROR(VLOOKUP($A26,データ貼付けシート!$C$3:$G$63,4,FALSE)),0,VLOOKUP($A26,データ貼付けシート!$C$3:$G$63,4,FALSE))</f>
        <v>47</v>
      </c>
      <c r="L26" s="22">
        <f>IF(ISERROR(VLOOKUP($A26,データ貼付けシート!$C$3:$G$63,5,FALSE)),0,VLOOKUP($A26,データ貼付けシート!$C$3:$G$63,5,FALSE))</f>
        <v>8</v>
      </c>
      <c r="M26" s="22">
        <f>IF(ISERROR(VLOOKUP($B26,データ貼付けシート!$C$3:$G$63,4,FALSE)),0,VLOOKUP($B26,データ貼付けシート!$C$3:$G$63,4,FALSE))</f>
        <v>76</v>
      </c>
      <c r="N26" s="22">
        <f>IF(ISERROR(VLOOKUP($B26,データ貼付けシート!$C$3:$G$63,5,FALSE)),0,VLOOKUP($B26,データ貼付けシート!$C$3:$G$63,5,FALSE))</f>
        <v>5</v>
      </c>
    </row>
    <row r="27" spans="1:14" x14ac:dyDescent="0.45">
      <c r="A27">
        <v>4350280014</v>
      </c>
      <c r="C27" s="32" t="s">
        <v>16</v>
      </c>
      <c r="D27" t="s">
        <v>73</v>
      </c>
      <c r="E27" t="s">
        <v>214</v>
      </c>
      <c r="F27" t="s">
        <v>74</v>
      </c>
      <c r="G27" t="s">
        <v>47</v>
      </c>
      <c r="H27" s="31">
        <v>80</v>
      </c>
      <c r="I27">
        <f>IF(ISERROR(VLOOKUP($A27,データ貼付けシート!$C$3:$G$66,4,FALSE)),0,VLOOKUP($A27,データ貼付けシート!$C$3:$G$66,4,FALSE))</f>
        <v>75</v>
      </c>
      <c r="J27">
        <f>IF(ISERROR(VLOOKUP($A27,データ貼付けシート!$C$3:$G$66,5,FALSE)),0,VLOOKUP($A27,データ貼付けシート!$C$3:$G$66,5,FALSE))</f>
        <v>3</v>
      </c>
    </row>
    <row r="28" spans="1:14" x14ac:dyDescent="0.45">
      <c r="A28">
        <v>4352980025</v>
      </c>
      <c r="C28" s="32" t="s">
        <v>20</v>
      </c>
      <c r="D28" t="s">
        <v>75</v>
      </c>
      <c r="E28" t="s">
        <v>215</v>
      </c>
      <c r="F28" t="s">
        <v>76</v>
      </c>
      <c r="G28" t="s">
        <v>77</v>
      </c>
      <c r="H28" s="31">
        <v>80</v>
      </c>
      <c r="I28">
        <f>IF(ISERROR(VLOOKUP($A28,データ貼付けシート!$C$3:$G$66,4,FALSE)),0,VLOOKUP($A28,データ貼付けシート!$C$3:$G$66,4,FALSE))</f>
        <v>68</v>
      </c>
      <c r="J28">
        <f>IF(ISERROR(VLOOKUP($A28,データ貼付けシート!$C$3:$G$66,5,FALSE)),0,VLOOKUP($A28,データ貼付けシート!$C$3:$G$66,5,FALSE))</f>
        <v>4</v>
      </c>
    </row>
    <row r="29" spans="1:14" x14ac:dyDescent="0.45">
      <c r="C29" s="30" t="s">
        <v>78</v>
      </c>
      <c r="H29" s="31"/>
    </row>
    <row r="30" spans="1:14" x14ac:dyDescent="0.45">
      <c r="C30" s="30" t="s">
        <v>163</v>
      </c>
      <c r="H30" s="31"/>
    </row>
    <row r="31" spans="1:14" x14ac:dyDescent="0.45">
      <c r="A31" t="s">
        <v>255</v>
      </c>
      <c r="C31" s="32">
        <v>1</v>
      </c>
      <c r="D31" t="s">
        <v>79</v>
      </c>
      <c r="E31" t="s">
        <v>216</v>
      </c>
      <c r="F31" t="s">
        <v>80</v>
      </c>
      <c r="G31" t="s">
        <v>81</v>
      </c>
      <c r="H31" s="31">
        <v>35</v>
      </c>
      <c r="I31">
        <f>IF(ISERROR(VLOOKUP($A31,データ貼付けシート!$C$3:$G$66,4,FALSE)),0,VLOOKUP($A31,データ貼付けシート!$C$3:$G$66,4,FALSE))</f>
        <v>35</v>
      </c>
      <c r="J31">
        <f>IF(ISERROR(VLOOKUP($A31,データ貼付けシート!$C$3:$G$66,5,FALSE)),0,VLOOKUP($A31,データ貼付けシート!$C$3:$G$66,5,FALSE))</f>
        <v>3</v>
      </c>
    </row>
    <row r="32" spans="1:14" x14ac:dyDescent="0.45">
      <c r="A32" t="s">
        <v>256</v>
      </c>
      <c r="C32" s="32">
        <v>2</v>
      </c>
      <c r="D32" t="s">
        <v>82</v>
      </c>
      <c r="E32" t="s">
        <v>217</v>
      </c>
      <c r="F32" t="s">
        <v>83</v>
      </c>
      <c r="G32" t="s">
        <v>84</v>
      </c>
      <c r="H32" s="31">
        <v>33</v>
      </c>
      <c r="I32">
        <f>IF(ISERROR(VLOOKUP($A32,データ貼付けシート!$C$3:$G$66,4,FALSE)),0,VLOOKUP($A32,データ貼付けシート!$C$3:$G$66,4,FALSE))</f>
        <v>25</v>
      </c>
      <c r="J32">
        <f>IF(ISERROR(VLOOKUP($A32,データ貼付けシート!$C$3:$G$66,5,FALSE)),0,VLOOKUP($A32,データ貼付けシート!$C$3:$G$66,5,FALSE))</f>
        <v>0</v>
      </c>
    </row>
    <row r="33" spans="1:10" x14ac:dyDescent="0.45">
      <c r="C33" s="30" t="s">
        <v>85</v>
      </c>
      <c r="H33" s="31"/>
    </row>
    <row r="34" spans="1:10" x14ac:dyDescent="0.45">
      <c r="C34" s="30" t="s">
        <v>164</v>
      </c>
      <c r="H34" s="31"/>
    </row>
    <row r="35" spans="1:10" x14ac:dyDescent="0.45">
      <c r="A35">
        <v>4370201123</v>
      </c>
      <c r="C35" s="32">
        <v>1</v>
      </c>
      <c r="D35" t="s">
        <v>165</v>
      </c>
      <c r="E35" t="s">
        <v>218</v>
      </c>
      <c r="F35" t="s">
        <v>86</v>
      </c>
      <c r="G35" t="s">
        <v>87</v>
      </c>
      <c r="H35" s="31">
        <v>20</v>
      </c>
      <c r="I35">
        <f>IF(ISERROR(VLOOKUP($A35,データ貼付けシート!$C$3:$G$66,4,FALSE)),0,VLOOKUP($A35,データ貼付けシート!$C$3:$G$66,4,FALSE))</f>
        <v>18</v>
      </c>
      <c r="J35">
        <f>IF(ISERROR(VLOOKUP($A35,データ貼付けシート!$C$3:$G$66,5,FALSE)),0,VLOOKUP($A35,データ貼付けシート!$C$3:$G$66,5,FALSE))</f>
        <v>0</v>
      </c>
    </row>
    <row r="36" spans="1:10" x14ac:dyDescent="0.45">
      <c r="A36">
        <v>4370203004</v>
      </c>
      <c r="C36" s="32">
        <v>2</v>
      </c>
      <c r="D36" t="s">
        <v>166</v>
      </c>
      <c r="E36" t="s">
        <v>219</v>
      </c>
      <c r="F36" t="s">
        <v>167</v>
      </c>
      <c r="G36" t="s">
        <v>87</v>
      </c>
      <c r="H36" s="31">
        <v>30</v>
      </c>
      <c r="I36">
        <f>IF(ISERROR(VLOOKUP($A36,データ貼付けシート!$C$3:$G$66,4,FALSE)),0,VLOOKUP($A36,データ貼付けシート!$C$3:$G$66,4,FALSE))</f>
        <v>27</v>
      </c>
      <c r="J36">
        <f>IF(ISERROR(VLOOKUP($A36,データ貼付けシート!$C$3:$G$66,5,FALSE)),0,VLOOKUP($A36,データ貼付けシート!$C$3:$G$66,5,FALSE))</f>
        <v>0</v>
      </c>
    </row>
    <row r="37" spans="1:10" x14ac:dyDescent="0.45">
      <c r="A37">
        <v>4370202899</v>
      </c>
      <c r="C37" s="32">
        <v>3</v>
      </c>
      <c r="D37" t="s">
        <v>278</v>
      </c>
      <c r="E37" t="s">
        <v>282</v>
      </c>
      <c r="F37" t="s">
        <v>279</v>
      </c>
      <c r="G37" t="s">
        <v>11</v>
      </c>
      <c r="H37" s="31">
        <v>50</v>
      </c>
      <c r="I37">
        <f>IF(ISERROR(VLOOKUP($A37,データ貼付けシート!$C$3:$G$66,4,FALSE)),0,VLOOKUP($A37,データ貼付けシート!$C$3:$G$66,4,FALSE))</f>
        <v>49</v>
      </c>
      <c r="J37">
        <f>IF(ISERROR(VLOOKUP($A37,データ貼付けシート!$C$3:$G$66,5,FALSE)),0,VLOOKUP($A37,データ貼付けシート!$C$3:$G$66,5,FALSE))</f>
        <v>21</v>
      </c>
    </row>
    <row r="38" spans="1:10" x14ac:dyDescent="0.45">
      <c r="A38">
        <v>4370203442</v>
      </c>
      <c r="C38" s="32">
        <v>4</v>
      </c>
      <c r="D38" t="s">
        <v>280</v>
      </c>
      <c r="E38" t="s">
        <v>283</v>
      </c>
      <c r="F38" t="s">
        <v>281</v>
      </c>
      <c r="G38" t="s">
        <v>11</v>
      </c>
      <c r="H38" s="31">
        <v>40</v>
      </c>
      <c r="I38">
        <f>IF(ISERROR(VLOOKUP($A38,データ貼付けシート!$C$3:$G$66,4,FALSE)),0,VLOOKUP($A38,データ貼付けシート!$C$3:$G$66,4,FALSE))</f>
        <v>37</v>
      </c>
      <c r="J38">
        <f>IF(ISERROR(VLOOKUP($A38,データ貼付けシート!$C$3:$G$66,5,FALSE)),0,VLOOKUP($A38,データ貼付けシート!$C$3:$G$66,5,FALSE))</f>
        <v>0</v>
      </c>
    </row>
    <row r="39" spans="1:10" x14ac:dyDescent="0.45">
      <c r="C39" s="30" t="s">
        <v>168</v>
      </c>
      <c r="H39" s="31"/>
    </row>
    <row r="40" spans="1:10" x14ac:dyDescent="0.45">
      <c r="C40" s="30" t="s">
        <v>266</v>
      </c>
      <c r="H40" s="31"/>
    </row>
    <row r="41" spans="1:10" x14ac:dyDescent="0.45">
      <c r="A41">
        <v>4390200188</v>
      </c>
      <c r="C41" s="32" t="s">
        <v>0</v>
      </c>
      <c r="D41" t="s">
        <v>88</v>
      </c>
      <c r="E41" t="s">
        <v>220</v>
      </c>
      <c r="F41" t="s">
        <v>89</v>
      </c>
      <c r="G41" t="s">
        <v>90</v>
      </c>
      <c r="H41" s="31">
        <v>29</v>
      </c>
      <c r="I41">
        <f>IF(ISERROR(VLOOKUP($A41,データ貼付けシート!$C$3:$G$66,4,FALSE)),0,VLOOKUP($A41,データ貼付けシート!$C$3:$G$66,4,FALSE))</f>
        <v>25</v>
      </c>
      <c r="J41">
        <f>IF(ISERROR(VLOOKUP($A41,データ貼付けシート!$C$3:$G$66,5,FALSE)),0,VLOOKUP($A41,データ貼付けシート!$C$3:$G$66,5,FALSE))</f>
        <v>0</v>
      </c>
    </row>
    <row r="42" spans="1:10" x14ac:dyDescent="0.45">
      <c r="C42" s="30" t="s">
        <v>91</v>
      </c>
      <c r="H42" s="31"/>
    </row>
    <row r="43" spans="1:10" x14ac:dyDescent="0.45">
      <c r="C43" s="30" t="s">
        <v>267</v>
      </c>
      <c r="H43" s="31"/>
    </row>
    <row r="44" spans="1:10" x14ac:dyDescent="0.45">
      <c r="A44">
        <v>4360290003</v>
      </c>
      <c r="C44" s="32">
        <v>1</v>
      </c>
      <c r="D44" t="s">
        <v>169</v>
      </c>
      <c r="E44" t="s">
        <v>221</v>
      </c>
      <c r="F44" t="s">
        <v>92</v>
      </c>
      <c r="G44" t="s">
        <v>93</v>
      </c>
      <c r="H44" s="31">
        <v>9</v>
      </c>
      <c r="I44">
        <f>IF(ISERROR(VLOOKUP($A44,データ貼付けシート!$C$3:$G$66,4,FALSE)),0,VLOOKUP($A44,データ貼付けシート!$C$3:$G$66,4,FALSE))</f>
        <v>9</v>
      </c>
      <c r="J44">
        <f>IF(ISERROR(VLOOKUP($A44,データ貼付けシート!$C$3:$G$66,5,FALSE)),0,VLOOKUP($A44,データ貼付けシート!$C$3:$G$66,5,FALSE))</f>
        <v>11</v>
      </c>
    </row>
    <row r="45" spans="1:10" x14ac:dyDescent="0.45">
      <c r="A45">
        <v>4370200984</v>
      </c>
      <c r="C45" s="32">
        <v>2</v>
      </c>
      <c r="D45" t="s">
        <v>94</v>
      </c>
      <c r="E45" t="s">
        <v>222</v>
      </c>
      <c r="F45" t="s">
        <v>14</v>
      </c>
      <c r="G45" t="s">
        <v>49</v>
      </c>
      <c r="H45" s="31">
        <v>9</v>
      </c>
      <c r="I45">
        <f>IF(ISERROR(VLOOKUP($A45,データ貼付けシート!$C$3:$G$66,4,FALSE)),0,VLOOKUP($A45,データ貼付けシート!$C$3:$G$66,4,FALSE))</f>
        <v>9</v>
      </c>
      <c r="J45">
        <f>IF(ISERROR(VLOOKUP($A45,データ貼付けシート!$C$3:$G$66,5,FALSE)),0,VLOOKUP($A45,データ貼付けシート!$C$3:$G$66,5,FALSE))</f>
        <v>2</v>
      </c>
    </row>
    <row r="46" spans="1:10" x14ac:dyDescent="0.45">
      <c r="A46">
        <v>4370201008</v>
      </c>
      <c r="C46" s="32">
        <v>3</v>
      </c>
      <c r="D46" t="s">
        <v>95</v>
      </c>
      <c r="E46" t="s">
        <v>223</v>
      </c>
      <c r="F46" t="s">
        <v>96</v>
      </c>
      <c r="G46" t="s">
        <v>67</v>
      </c>
      <c r="H46" s="31">
        <v>18</v>
      </c>
      <c r="I46">
        <f>IF(ISERROR(VLOOKUP($A46,データ貼付けシート!$C$3:$G$66,4,FALSE)),0,VLOOKUP($A46,データ貼付けシート!$C$3:$G$66,4,FALSE))</f>
        <v>18</v>
      </c>
      <c r="J46">
        <f>IF(ISERROR(VLOOKUP($A46,データ貼付けシート!$C$3:$G$66,5,FALSE)),0,VLOOKUP($A46,データ貼付けシート!$C$3:$G$66,5,FALSE))</f>
        <v>12</v>
      </c>
    </row>
    <row r="47" spans="1:10" x14ac:dyDescent="0.45">
      <c r="A47">
        <v>4370201446</v>
      </c>
      <c r="C47" s="32">
        <v>4</v>
      </c>
      <c r="D47" t="s">
        <v>97</v>
      </c>
      <c r="E47" t="s">
        <v>224</v>
      </c>
      <c r="F47" t="s">
        <v>98</v>
      </c>
      <c r="G47" t="s">
        <v>99</v>
      </c>
      <c r="H47" s="31">
        <v>18</v>
      </c>
      <c r="I47">
        <f>IF(ISERROR(VLOOKUP($A47,データ貼付けシート!$C$3:$G$66,4,FALSE)),0,VLOOKUP($A47,データ貼付けシート!$C$3:$G$66,4,FALSE))</f>
        <v>17</v>
      </c>
      <c r="J47">
        <f>IF(ISERROR(VLOOKUP($A47,データ貼付けシート!$C$3:$G$66,5,FALSE)),0,VLOOKUP($A47,データ貼付けシート!$C$3:$G$66,5,FALSE))</f>
        <v>2</v>
      </c>
    </row>
    <row r="48" spans="1:10" x14ac:dyDescent="0.45">
      <c r="A48">
        <v>4372900698</v>
      </c>
      <c r="C48" s="32">
        <v>5</v>
      </c>
      <c r="D48" t="s">
        <v>100</v>
      </c>
      <c r="E48" t="s">
        <v>225</v>
      </c>
      <c r="F48" t="s">
        <v>101</v>
      </c>
      <c r="G48" t="s">
        <v>50</v>
      </c>
      <c r="H48" s="31">
        <v>18</v>
      </c>
      <c r="I48">
        <f>IF(ISERROR(VLOOKUP($A48,データ貼付けシート!$C$3:$G$66,4,FALSE)),0,VLOOKUP($A48,データ貼付けシート!$C$3:$G$66,4,FALSE))</f>
        <v>18</v>
      </c>
      <c r="J48">
        <f>IF(ISERROR(VLOOKUP($A48,データ貼付けシート!$C$3:$G$66,5,FALSE)),0,VLOOKUP($A48,データ貼付けシート!$C$3:$G$66,5,FALSE))</f>
        <v>7</v>
      </c>
    </row>
    <row r="49" spans="1:10" x14ac:dyDescent="0.45">
      <c r="A49">
        <v>4372900748</v>
      </c>
      <c r="C49" s="32">
        <v>6</v>
      </c>
      <c r="D49" t="s">
        <v>170</v>
      </c>
      <c r="E49" t="s">
        <v>226</v>
      </c>
      <c r="F49" t="s">
        <v>102</v>
      </c>
      <c r="G49" t="s">
        <v>103</v>
      </c>
      <c r="H49" s="31">
        <v>18</v>
      </c>
      <c r="I49">
        <f>IF(ISERROR(VLOOKUP($A49,データ貼付けシート!$C$3:$G$66,4,FALSE)),0,VLOOKUP($A49,データ貼付けシート!$C$3:$G$66,4,FALSE))</f>
        <v>17</v>
      </c>
      <c r="J49">
        <f>IF(ISERROR(VLOOKUP($A49,データ貼付けシート!$C$3:$G$66,5,FALSE)),0,VLOOKUP($A49,データ貼付けシート!$C$3:$G$66,5,FALSE))</f>
        <v>3</v>
      </c>
    </row>
    <row r="50" spans="1:10" x14ac:dyDescent="0.45">
      <c r="A50">
        <v>4372900755</v>
      </c>
      <c r="C50" s="32">
        <v>7</v>
      </c>
      <c r="D50" t="s">
        <v>104</v>
      </c>
      <c r="E50" t="s">
        <v>227</v>
      </c>
      <c r="F50" t="s">
        <v>171</v>
      </c>
      <c r="G50" t="s">
        <v>105</v>
      </c>
      <c r="H50" s="31">
        <v>9</v>
      </c>
      <c r="I50">
        <f>IF(ISERROR(VLOOKUP($A50,データ貼付けシート!$C$3:$G$66,4,FALSE)),0,VLOOKUP($A50,データ貼付けシート!$C$3:$G$66,4,FALSE))</f>
        <v>8</v>
      </c>
      <c r="J50">
        <f>IF(ISERROR(VLOOKUP($A50,データ貼付けシート!$C$3:$G$66,5,FALSE)),0,VLOOKUP($A50,データ貼付けシート!$C$3:$G$66,5,FALSE))</f>
        <v>9</v>
      </c>
    </row>
    <row r="51" spans="1:10" x14ac:dyDescent="0.45">
      <c r="A51">
        <v>4390200097</v>
      </c>
      <c r="C51" s="32">
        <v>8</v>
      </c>
      <c r="D51" t="s">
        <v>106</v>
      </c>
      <c r="E51" t="s">
        <v>228</v>
      </c>
      <c r="F51" t="s">
        <v>107</v>
      </c>
      <c r="G51" t="s">
        <v>108</v>
      </c>
      <c r="H51" s="31">
        <v>9</v>
      </c>
      <c r="I51">
        <f>IF(ISERROR(VLOOKUP($A51,データ貼付けシート!$C$3:$G$66,4,FALSE)),0,VLOOKUP($A51,データ貼付けシート!$C$3:$G$66,4,FALSE))</f>
        <v>8</v>
      </c>
      <c r="J51">
        <f>IF(ISERROR(VLOOKUP($A51,データ貼付けシート!$C$3:$G$66,5,FALSE)),0,VLOOKUP($A51,データ貼付けシート!$C$3:$G$66,5,FALSE))</f>
        <v>0</v>
      </c>
    </row>
    <row r="52" spans="1:10" x14ac:dyDescent="0.45">
      <c r="A52">
        <v>4390200063</v>
      </c>
      <c r="C52" s="32">
        <v>9</v>
      </c>
      <c r="D52" t="s">
        <v>109</v>
      </c>
      <c r="E52" t="s">
        <v>229</v>
      </c>
      <c r="F52" t="s">
        <v>110</v>
      </c>
      <c r="G52" t="s">
        <v>111</v>
      </c>
      <c r="H52" s="31">
        <v>9</v>
      </c>
      <c r="I52">
        <f>IF(ISERROR(VLOOKUP($A52,データ貼付けシート!$C$3:$G$66,4,FALSE)),0,VLOOKUP($A52,データ貼付けシート!$C$3:$G$66,4,FALSE))</f>
        <v>8</v>
      </c>
      <c r="J52">
        <f>IF(ISERROR(VLOOKUP($A52,データ貼付けシート!$C$3:$G$66,5,FALSE)),0,VLOOKUP($A52,データ貼付けシート!$C$3:$G$66,5,FALSE))</f>
        <v>0</v>
      </c>
    </row>
    <row r="53" spans="1:10" x14ac:dyDescent="0.45">
      <c r="A53">
        <v>4390200147</v>
      </c>
      <c r="C53" s="32">
        <v>10</v>
      </c>
      <c r="D53" t="s">
        <v>112</v>
      </c>
      <c r="E53" t="s">
        <v>230</v>
      </c>
      <c r="F53" t="s">
        <v>172</v>
      </c>
      <c r="G53" t="s">
        <v>105</v>
      </c>
      <c r="H53" s="31">
        <v>9</v>
      </c>
      <c r="I53">
        <f>IF(ISERROR(VLOOKUP($A53,データ貼付けシート!$C$3:$G$66,4,FALSE)),0,VLOOKUP($A53,データ貼付けシート!$C$3:$G$66,4,FALSE))</f>
        <v>9</v>
      </c>
      <c r="J53">
        <f>IF(ISERROR(VLOOKUP($A53,データ貼付けシート!$C$3:$G$66,5,FALSE)),0,VLOOKUP($A53,データ貼付けシート!$C$3:$G$66,5,FALSE))</f>
        <v>10</v>
      </c>
    </row>
    <row r="54" spans="1:10" x14ac:dyDescent="0.45">
      <c r="A54">
        <v>4390200204</v>
      </c>
      <c r="C54" s="32">
        <v>11</v>
      </c>
      <c r="D54" t="s">
        <v>113</v>
      </c>
      <c r="E54" t="s">
        <v>231</v>
      </c>
      <c r="F54" t="s">
        <v>173</v>
      </c>
      <c r="G54" t="s">
        <v>67</v>
      </c>
      <c r="H54" s="31">
        <v>9</v>
      </c>
      <c r="I54">
        <f>IF(ISERROR(VLOOKUP($A54,データ貼付けシート!$C$3:$G$66,4,FALSE)),0,VLOOKUP($A54,データ貼付けシート!$C$3:$G$66,4,FALSE))</f>
        <v>9</v>
      </c>
      <c r="J54">
        <f>IF(ISERROR(VLOOKUP($A54,データ貼付けシート!$C$3:$G$66,5,FALSE)),0,VLOOKUP($A54,データ貼付けシート!$C$3:$G$66,5,FALSE))</f>
        <v>10</v>
      </c>
    </row>
    <row r="55" spans="1:10" x14ac:dyDescent="0.45">
      <c r="A55">
        <v>4390200253</v>
      </c>
      <c r="C55" s="32">
        <v>12</v>
      </c>
      <c r="D55" t="s">
        <v>114</v>
      </c>
      <c r="E55" t="s">
        <v>232</v>
      </c>
      <c r="F55" t="s">
        <v>174</v>
      </c>
      <c r="G55" t="s">
        <v>115</v>
      </c>
      <c r="H55" s="31">
        <v>9</v>
      </c>
      <c r="I55">
        <f>IF(ISERROR(VLOOKUP($A55,データ貼付けシート!$C$3:$G$66,4,FALSE)),0,VLOOKUP($A55,データ貼付けシート!$C$3:$G$66,4,FALSE))</f>
        <v>9</v>
      </c>
      <c r="J55">
        <f>IF(ISERROR(VLOOKUP($A55,データ貼付けシート!$C$3:$G$66,5,FALSE)),0,VLOOKUP($A55,データ貼付けシート!$C$3:$G$66,5,FALSE))</f>
        <v>1</v>
      </c>
    </row>
    <row r="56" spans="1:10" x14ac:dyDescent="0.45">
      <c r="A56">
        <v>4390200238</v>
      </c>
      <c r="C56" s="32">
        <v>13</v>
      </c>
      <c r="D56" t="s">
        <v>175</v>
      </c>
      <c r="E56" t="s">
        <v>233</v>
      </c>
      <c r="F56" t="s">
        <v>176</v>
      </c>
      <c r="G56" t="s">
        <v>116</v>
      </c>
      <c r="H56" s="31">
        <v>9</v>
      </c>
      <c r="I56">
        <f>IF(ISERROR(VLOOKUP($A56,データ貼付けシート!$C$3:$G$66,4,FALSE)),0,VLOOKUP($A56,データ貼付けシート!$C$3:$G$66,4,FALSE))</f>
        <v>9</v>
      </c>
      <c r="J56">
        <f>IF(ISERROR(VLOOKUP($A56,データ貼付けシート!$C$3:$G$66,5,FALSE)),0,VLOOKUP($A56,データ貼付けシート!$C$3:$G$66,5,FALSE))</f>
        <v>12</v>
      </c>
    </row>
    <row r="57" spans="1:10" x14ac:dyDescent="0.45">
      <c r="A57">
        <v>4390200584</v>
      </c>
      <c r="C57" s="32">
        <v>14</v>
      </c>
      <c r="D57" t="s">
        <v>117</v>
      </c>
      <c r="E57" t="s">
        <v>234</v>
      </c>
      <c r="F57" t="s">
        <v>177</v>
      </c>
      <c r="G57" t="s">
        <v>118</v>
      </c>
      <c r="H57" s="31">
        <v>9</v>
      </c>
      <c r="I57">
        <f>IF(ISERROR(VLOOKUP($A57,データ貼付けシート!$C$3:$G$66,4,FALSE)),0,VLOOKUP($A57,データ貼付けシート!$C$3:$G$66,4,FALSE))</f>
        <v>9</v>
      </c>
      <c r="J57">
        <f>IF(ISERROR(VLOOKUP($A57,データ貼付けシート!$C$3:$G$66,5,FALSE)),0,VLOOKUP($A57,データ貼付けシート!$C$3:$G$66,5,FALSE))</f>
        <v>2</v>
      </c>
    </row>
    <row r="58" spans="1:10" x14ac:dyDescent="0.45">
      <c r="A58">
        <v>4390200220</v>
      </c>
      <c r="C58" s="32">
        <v>15</v>
      </c>
      <c r="D58" t="s">
        <v>119</v>
      </c>
      <c r="E58" t="s">
        <v>235</v>
      </c>
      <c r="F58" t="s">
        <v>178</v>
      </c>
      <c r="G58" t="s">
        <v>120</v>
      </c>
      <c r="H58" s="31">
        <v>9</v>
      </c>
      <c r="I58">
        <f>IF(ISERROR(VLOOKUP($A58,データ貼付けシート!$C$3:$G$66,4,FALSE)),0,VLOOKUP($A58,データ貼付けシート!$C$3:$G$66,4,FALSE))</f>
        <v>9</v>
      </c>
      <c r="J58">
        <f>IF(ISERROR(VLOOKUP($A58,データ貼付けシート!$C$3:$G$66,5,FALSE)),0,VLOOKUP($A58,データ貼付けシート!$C$3:$G$66,5,FALSE))</f>
        <v>0</v>
      </c>
    </row>
    <row r="59" spans="1:10" x14ac:dyDescent="0.45">
      <c r="A59">
        <v>4390200592</v>
      </c>
      <c r="C59" s="32">
        <v>16</v>
      </c>
      <c r="D59" t="s">
        <v>121</v>
      </c>
      <c r="E59" t="s">
        <v>236</v>
      </c>
      <c r="F59" t="s">
        <v>179</v>
      </c>
      <c r="G59" t="s">
        <v>122</v>
      </c>
      <c r="H59" s="31">
        <v>9</v>
      </c>
      <c r="I59">
        <f>IF(ISERROR(VLOOKUP($A59,データ貼付けシート!$C$3:$G$66,4,FALSE)),0,VLOOKUP($A59,データ貼付けシート!$C$3:$G$66,4,FALSE))</f>
        <v>9</v>
      </c>
      <c r="J59">
        <f>IF(ISERROR(VLOOKUP($A59,データ貼付けシート!$C$3:$G$66,5,FALSE)),0,VLOOKUP($A59,データ貼付けシート!$C$3:$G$66,5,FALSE))</f>
        <v>3</v>
      </c>
    </row>
    <row r="60" spans="1:10" x14ac:dyDescent="0.45">
      <c r="A60">
        <v>4390200410</v>
      </c>
      <c r="C60" s="32">
        <v>17</v>
      </c>
      <c r="D60" t="s">
        <v>123</v>
      </c>
      <c r="E60" t="s">
        <v>124</v>
      </c>
      <c r="F60" t="s">
        <v>180</v>
      </c>
      <c r="G60" t="s">
        <v>122</v>
      </c>
      <c r="H60" s="31">
        <v>9</v>
      </c>
      <c r="I60">
        <f>IF(ISERROR(VLOOKUP($A60,データ貼付けシート!$C$3:$G$66,4,FALSE)),0,VLOOKUP($A60,データ貼付けシート!$C$3:$G$66,4,FALSE))</f>
        <v>9</v>
      </c>
      <c r="J60">
        <f>IF(ISERROR(VLOOKUP($A60,データ貼付けシート!$C$3:$G$66,5,FALSE)),0,VLOOKUP($A60,データ貼付けシート!$C$3:$G$66,5,FALSE))</f>
        <v>3</v>
      </c>
    </row>
    <row r="61" spans="1:10" x14ac:dyDescent="0.45">
      <c r="A61">
        <v>4390200519</v>
      </c>
      <c r="C61" s="32">
        <v>18</v>
      </c>
      <c r="D61" t="s">
        <v>258</v>
      </c>
      <c r="E61" t="s">
        <v>259</v>
      </c>
      <c r="F61" t="s">
        <v>260</v>
      </c>
      <c r="G61" t="s">
        <v>261</v>
      </c>
      <c r="H61" s="31">
        <v>9</v>
      </c>
      <c r="I61">
        <f>IF(ISERROR(VLOOKUP($A61,データ貼付けシート!$C$3:$G$66,4,FALSE)),0,VLOOKUP($A61,データ貼付けシート!$C$3:$G$66,4,FALSE))</f>
        <v>9</v>
      </c>
      <c r="J61">
        <f>IF(ISERROR(VLOOKUP($A61,データ貼付けシート!$C$3:$G$66,5,FALSE)),0,VLOOKUP($A61,データ貼付けシート!$C$3:$G$66,5,FALSE))</f>
        <v>3</v>
      </c>
    </row>
    <row r="62" spans="1:10" x14ac:dyDescent="0.45">
      <c r="C62" s="30" t="s">
        <v>125</v>
      </c>
      <c r="H62" s="31"/>
    </row>
    <row r="63" spans="1:10" x14ac:dyDescent="0.45">
      <c r="C63" s="30" t="s">
        <v>181</v>
      </c>
      <c r="H63" s="31"/>
    </row>
    <row r="64" spans="1:10" x14ac:dyDescent="0.45">
      <c r="A64">
        <v>4390200022</v>
      </c>
      <c r="C64" s="32">
        <v>1</v>
      </c>
      <c r="D64" t="s">
        <v>182</v>
      </c>
      <c r="E64" t="s">
        <v>237</v>
      </c>
      <c r="F64" t="s">
        <v>126</v>
      </c>
      <c r="G64" t="s">
        <v>127</v>
      </c>
      <c r="H64" s="31" t="s">
        <v>268</v>
      </c>
      <c r="I64">
        <f>IF(ISERROR(VLOOKUP($A64,データ貼付けシート!$C$3:$G$66,3,FALSE)),0,VLOOKUP($A64,データ貼付けシート!$C$3:$G$66,3,FALSE))</f>
        <v>23</v>
      </c>
    </row>
    <row r="65" spans="1:9" x14ac:dyDescent="0.45">
      <c r="A65">
        <v>4390200048</v>
      </c>
      <c r="C65" s="32">
        <v>2</v>
      </c>
      <c r="D65" t="s">
        <v>128</v>
      </c>
      <c r="E65" t="s">
        <v>238</v>
      </c>
      <c r="F65" t="s">
        <v>129</v>
      </c>
      <c r="G65" t="s">
        <v>130</v>
      </c>
      <c r="H65" s="31" t="s">
        <v>269</v>
      </c>
      <c r="I65">
        <f>IF(ISERROR(VLOOKUP($A65,データ貼付けシート!$C$3:$G$66,3,FALSE)),0,VLOOKUP($A65,データ貼付けシート!$C$3:$G$66,3,FALSE))</f>
        <v>25</v>
      </c>
    </row>
    <row r="66" spans="1:9" x14ac:dyDescent="0.45">
      <c r="A66">
        <v>4390200527</v>
      </c>
      <c r="C66" s="32">
        <v>3</v>
      </c>
      <c r="D66" t="s">
        <v>131</v>
      </c>
      <c r="E66" t="s">
        <v>239</v>
      </c>
      <c r="F66" t="s">
        <v>132</v>
      </c>
      <c r="G66" t="s">
        <v>277</v>
      </c>
      <c r="H66" s="31" t="s">
        <v>270</v>
      </c>
      <c r="I66">
        <f>IF(ISERROR(VLOOKUP($A66,データ貼付けシート!$C$3:$G$66,3,FALSE)),0,VLOOKUP($A66,データ貼付けシート!$C$3:$G$66,3,FALSE))</f>
        <v>18</v>
      </c>
    </row>
    <row r="67" spans="1:9" x14ac:dyDescent="0.45">
      <c r="A67">
        <v>4390200071</v>
      </c>
      <c r="C67" s="32">
        <v>4</v>
      </c>
      <c r="D67" t="s">
        <v>133</v>
      </c>
      <c r="E67" t="s">
        <v>134</v>
      </c>
      <c r="F67" t="s">
        <v>135</v>
      </c>
      <c r="G67" t="s">
        <v>48</v>
      </c>
      <c r="H67" s="31" t="s">
        <v>268</v>
      </c>
      <c r="I67">
        <f>IF(ISERROR(VLOOKUP($A67,データ貼付けシート!$C$3:$G$66,3,FALSE)),0,VLOOKUP($A67,データ貼付けシート!$C$3:$G$66,3,FALSE))</f>
        <v>26</v>
      </c>
    </row>
    <row r="68" spans="1:9" x14ac:dyDescent="0.45">
      <c r="A68">
        <v>4390200105</v>
      </c>
      <c r="C68" s="32">
        <v>5</v>
      </c>
      <c r="D68" t="s">
        <v>183</v>
      </c>
      <c r="E68" t="s">
        <v>240</v>
      </c>
      <c r="F68" t="s">
        <v>136</v>
      </c>
      <c r="G68" t="s">
        <v>137</v>
      </c>
      <c r="H68" s="31" t="s">
        <v>271</v>
      </c>
      <c r="I68">
        <f>IF(ISERROR(VLOOKUP($A68,データ貼付けシート!$C$3:$G$66,3,FALSE)),0,VLOOKUP($A68,データ貼付けシート!$C$3:$G$66,3,FALSE))</f>
        <v>28</v>
      </c>
    </row>
    <row r="69" spans="1:9" x14ac:dyDescent="0.45">
      <c r="A69">
        <v>4390200113</v>
      </c>
      <c r="C69" s="32">
        <v>6</v>
      </c>
      <c r="D69" t="s">
        <v>138</v>
      </c>
      <c r="E69" t="s">
        <v>241</v>
      </c>
      <c r="F69" t="s">
        <v>139</v>
      </c>
      <c r="G69" t="s">
        <v>67</v>
      </c>
      <c r="H69" s="31" t="s">
        <v>272</v>
      </c>
      <c r="I69">
        <f>IF(ISERROR(VLOOKUP($A69,データ貼付けシート!$C$3:$G$66,3,FALSE)),0,VLOOKUP($A69,データ貼付けシート!$C$3:$G$66,3,FALSE))</f>
        <v>28</v>
      </c>
    </row>
    <row r="70" spans="1:9" x14ac:dyDescent="0.45">
      <c r="A70">
        <v>4390200121</v>
      </c>
      <c r="C70" s="32">
        <v>7</v>
      </c>
      <c r="D70" t="s">
        <v>140</v>
      </c>
      <c r="E70" t="s">
        <v>242</v>
      </c>
      <c r="F70" t="s">
        <v>141</v>
      </c>
      <c r="G70" t="s">
        <v>103</v>
      </c>
      <c r="H70" s="31" t="s">
        <v>272</v>
      </c>
      <c r="I70">
        <f>IF(ISERROR(VLOOKUP($A70,データ貼付けシート!$C$3:$G$66,3,FALSE)),0,VLOOKUP($A70,データ貼付けシート!$C$3:$G$66,3,FALSE))</f>
        <v>27</v>
      </c>
    </row>
    <row r="71" spans="1:9" x14ac:dyDescent="0.45">
      <c r="A71">
        <v>4390200485</v>
      </c>
      <c r="C71" s="32">
        <v>8</v>
      </c>
      <c r="D71" t="s">
        <v>142</v>
      </c>
      <c r="E71" t="s">
        <v>243</v>
      </c>
      <c r="F71" t="s">
        <v>143</v>
      </c>
      <c r="G71" t="s">
        <v>184</v>
      </c>
      <c r="H71" s="31" t="s">
        <v>273</v>
      </c>
      <c r="I71">
        <f>IF(ISERROR(VLOOKUP($A71,データ貼付けシート!$C$3:$G$66,3,FALSE)),0,VLOOKUP($A71,データ貼付けシート!$C$3:$G$66,3,FALSE))</f>
        <v>0</v>
      </c>
    </row>
    <row r="72" spans="1:9" x14ac:dyDescent="0.45">
      <c r="A72">
        <v>4390200493</v>
      </c>
      <c r="C72" s="32">
        <v>9</v>
      </c>
      <c r="D72" t="s">
        <v>144</v>
      </c>
      <c r="E72" t="s">
        <v>145</v>
      </c>
      <c r="F72" t="s">
        <v>185</v>
      </c>
      <c r="G72" t="s">
        <v>137</v>
      </c>
      <c r="H72" s="31" t="s">
        <v>274</v>
      </c>
      <c r="I72">
        <f>IF(ISERROR(VLOOKUP($A72,データ貼付けシート!$C$3:$G$66,3,FALSE)),0,VLOOKUP($A72,データ貼付けシート!$C$3:$G$66,3,FALSE))</f>
        <v>28</v>
      </c>
    </row>
    <row r="73" spans="1:9" x14ac:dyDescent="0.45">
      <c r="C73" s="30" t="s">
        <v>146</v>
      </c>
      <c r="H73" s="31"/>
    </row>
    <row r="74" spans="1:9" x14ac:dyDescent="0.45">
      <c r="C74" s="30" t="s">
        <v>186</v>
      </c>
      <c r="H74" s="31"/>
    </row>
    <row r="75" spans="1:9" x14ac:dyDescent="0.45">
      <c r="A75">
        <v>4390200295</v>
      </c>
      <c r="C75" s="32">
        <v>1</v>
      </c>
      <c r="D75" t="s">
        <v>147</v>
      </c>
      <c r="E75" t="s">
        <v>244</v>
      </c>
      <c r="F75" t="s">
        <v>187</v>
      </c>
      <c r="G75" t="s">
        <v>99</v>
      </c>
      <c r="H75" s="31" t="s">
        <v>275</v>
      </c>
      <c r="I75">
        <f>IF(ISERROR(VLOOKUP($A75,データ貼付けシート!$C$3:$G$66,3,FALSE)),0,VLOOKUP($A75,データ貼付けシート!$C$3:$G$66,3,FALSE))</f>
        <v>24</v>
      </c>
    </row>
    <row r="76" spans="1:9" x14ac:dyDescent="0.45">
      <c r="A76">
        <v>4390200501</v>
      </c>
      <c r="C76" s="33">
        <v>2</v>
      </c>
      <c r="D76" s="34" t="s">
        <v>148</v>
      </c>
      <c r="E76" s="34" t="s">
        <v>245</v>
      </c>
      <c r="F76" s="34" t="s">
        <v>188</v>
      </c>
      <c r="G76" s="34" t="s">
        <v>149</v>
      </c>
      <c r="H76" s="35" t="s">
        <v>276</v>
      </c>
      <c r="I76">
        <f>IF(ISERROR(VLOOKUP($A76,データ貼付けシート!$C$3:$G$66,3,FALSE)),0,VLOOKUP($A76,データ貼付けシート!$C$3:$G$66,3,FALSE))</f>
        <v>24</v>
      </c>
    </row>
  </sheetData>
  <mergeCells count="2">
    <mergeCell ref="K1:L1"/>
    <mergeCell ref="M1:N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介護保険施設名簿</vt:lpstr>
      <vt:lpstr>データ貼付けシート</vt:lpstr>
      <vt:lpstr>DB</vt:lpstr>
      <vt:lpstr>介護保険施設名簿!Print_Area</vt:lpstr>
      <vt:lpstr>サービスの種類</vt:lpstr>
      <vt:lpstr>介護医療院</vt:lpstr>
      <vt:lpstr>介護老人福祉施設</vt:lpstr>
      <vt:lpstr>介護老人保健施設</vt:lpstr>
      <vt:lpstr>小規模多機能型居宅介護</vt:lpstr>
      <vt:lpstr>地域密着型介護老人福祉施設</vt:lpstr>
      <vt:lpstr>地域密着型特定施設入居者生活介護</vt:lpstr>
      <vt:lpstr>特定施設入居者生活介護</vt:lpstr>
      <vt:lpstr>認知症対応型共同生活介護</vt:lpstr>
      <vt:lpstr>複合型サービス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　和平</dc:creator>
  <cp:lastModifiedBy>角田　知嘉子</cp:lastModifiedBy>
  <cp:lastPrinted>2024-08-16T00:40:30Z</cp:lastPrinted>
  <dcterms:created xsi:type="dcterms:W3CDTF">2024-07-16T02:35:29Z</dcterms:created>
  <dcterms:modified xsi:type="dcterms:W3CDTF">2026-06-05T07:18:11Z</dcterms:modified>
</cp:coreProperties>
</file>