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s3\public\健康福祉部\介護保険課\4 介護給付係\施設一覧\"/>
    </mc:Choice>
  </mc:AlternateContent>
  <xr:revisionPtr revIDLastSave="0" documentId="13_ncr:1_{1779AA74-97DC-421F-BBD9-2628E7ED9C81}" xr6:coauthVersionLast="47" xr6:coauthVersionMax="47" xr10:uidLastSave="{00000000-0000-0000-0000-000000000000}"/>
  <bookViews>
    <workbookView xWindow="1392" yWindow="0" windowWidth="21612" windowHeight="11700" xr2:uid="{9CCDEE93-548F-4E96-A339-1762CA904A63}"/>
  </bookViews>
  <sheets>
    <sheet name="介護保険施設名簿" sheetId="2" r:id="rId1"/>
    <sheet name="データ貼付けシート" sheetId="3" state="hidden" r:id="rId2"/>
    <sheet name="DB" sheetId="1" state="hidden" r:id="rId3"/>
  </sheets>
  <externalReferences>
    <externalReference r:id="rId4"/>
  </externalReferences>
  <definedNames>
    <definedName name="_xlnm._FilterDatabase" localSheetId="0" hidden="1">介護保険施設名簿!$B$3:$B$3</definedName>
    <definedName name="_xlnm.Print_Area" localSheetId="0">介護保険施設名簿!$A$6:$G$29</definedName>
    <definedName name="サービスの種類">DB!$P$2:$Q$10</definedName>
    <definedName name="介護医療院">DB!$C$29:$J$32</definedName>
    <definedName name="介護老人福祉施設">DB!$C$2:$J$13</definedName>
    <definedName name="介護老人保健施設">DB!$C$21:$J$28</definedName>
    <definedName name="小規模多機能型居宅介護">DB!$C$63:$I$73</definedName>
    <definedName name="地域密着型介護老人福祉施設">DB!$C$14:$J$20</definedName>
    <definedName name="地域密着型特定施設入居者生活介護">DB!$C$39:$J$41</definedName>
    <definedName name="特定施設入居者生活介護">DB!$C$33:$J$38</definedName>
    <definedName name="認知症対応型共同生活介護">DB!$C$42:$J$62</definedName>
    <definedName name="複合型サービス">DB!$C$74:$I$77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3" l="1"/>
  <c r="F66" i="3"/>
  <c r="E66" i="3"/>
  <c r="G65" i="3"/>
  <c r="F65" i="3"/>
  <c r="E65" i="3"/>
  <c r="G64" i="3"/>
  <c r="F64" i="3"/>
  <c r="E64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J37" i="1" s="1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I8" i="1" l="1"/>
  <c r="J8" i="1"/>
  <c r="L11" i="1"/>
  <c r="J12" i="1"/>
  <c r="J19" i="1"/>
  <c r="I20" i="1"/>
  <c r="J20" i="1"/>
  <c r="M24" i="1"/>
  <c r="J25" i="1"/>
  <c r="L26" i="1"/>
  <c r="J27" i="1"/>
  <c r="J32" i="1"/>
  <c r="I35" i="1"/>
  <c r="I44" i="1"/>
  <c r="J46" i="1"/>
  <c r="I47" i="1"/>
  <c r="J49" i="1"/>
  <c r="I53" i="1"/>
  <c r="J55" i="1"/>
  <c r="J58" i="1"/>
  <c r="I61" i="1"/>
  <c r="J62" i="1"/>
  <c r="I66" i="1"/>
  <c r="I68" i="1"/>
  <c r="I69" i="1"/>
  <c r="I71" i="1"/>
  <c r="I76" i="1"/>
  <c r="I70" i="1"/>
  <c r="I65" i="1"/>
  <c r="J60" i="1"/>
  <c r="I60" i="1"/>
  <c r="J61" i="1"/>
  <c r="I59" i="1"/>
  <c r="J57" i="1"/>
  <c r="I55" i="1"/>
  <c r="J52" i="1"/>
  <c r="I52" i="1"/>
  <c r="I49" i="1"/>
  <c r="I46" i="1"/>
  <c r="J41" i="1"/>
  <c r="I32" i="1"/>
  <c r="I27" i="1"/>
  <c r="N26" i="1"/>
  <c r="M26" i="1"/>
  <c r="I25" i="1"/>
  <c r="N24" i="1"/>
  <c r="L24" i="1"/>
  <c r="K24" i="1"/>
  <c r="J23" i="1"/>
  <c r="I23" i="1"/>
  <c r="J18" i="1"/>
  <c r="I18" i="1"/>
  <c r="J17" i="1"/>
  <c r="I17" i="1"/>
  <c r="J16" i="1"/>
  <c r="I16" i="1"/>
  <c r="J13" i="1"/>
  <c r="I12" i="1"/>
  <c r="M11" i="1"/>
  <c r="K11" i="1"/>
  <c r="J10" i="1"/>
  <c r="J9" i="1"/>
  <c r="I9" i="1"/>
  <c r="J7" i="1"/>
  <c r="I7" i="1"/>
  <c r="J6" i="1"/>
  <c r="J5" i="1"/>
  <c r="I5" i="1"/>
  <c r="I77" i="1"/>
  <c r="I58" i="1"/>
  <c r="I56" i="1"/>
  <c r="I50" i="1"/>
  <c r="J44" i="1"/>
  <c r="J31" i="1"/>
  <c r="I31" i="1"/>
  <c r="K26" i="1"/>
  <c r="I13" i="1"/>
  <c r="I6" i="1"/>
  <c r="J59" i="1"/>
  <c r="J50" i="1"/>
  <c r="I45" i="1"/>
  <c r="J38" i="1"/>
  <c r="I38" i="1"/>
  <c r="J28" i="1"/>
  <c r="I28" i="1"/>
  <c r="N11" i="1"/>
  <c r="I37" i="1"/>
  <c r="I67" i="1"/>
  <c r="I72" i="1"/>
  <c r="I73" i="1"/>
  <c r="J56" i="1"/>
  <c r="J54" i="1"/>
  <c r="J53" i="1"/>
  <c r="I62" i="1"/>
  <c r="I57" i="1"/>
  <c r="I54" i="1"/>
  <c r="J45" i="1"/>
  <c r="J47" i="1"/>
  <c r="J48" i="1"/>
  <c r="I48" i="1"/>
  <c r="I41" i="1"/>
  <c r="J36" i="1"/>
  <c r="I36" i="1"/>
  <c r="J35" i="1"/>
  <c r="I19" i="1"/>
  <c r="I10" i="1"/>
  <c r="J4" i="1"/>
  <c r="I4" i="1"/>
  <c r="D6" i="2"/>
  <c r="K3" i="2"/>
  <c r="J51" i="1"/>
  <c r="I51" i="1"/>
  <c r="A6" i="2"/>
  <c r="I24" i="1" l="1"/>
  <c r="J24" i="1"/>
  <c r="I11" i="1"/>
  <c r="J26" i="1"/>
  <c r="I26" i="1"/>
  <c r="J11" i="1"/>
  <c r="F8" i="2"/>
  <c r="G8" i="2" l="1"/>
  <c r="G24" i="2"/>
  <c r="E35" i="2"/>
  <c r="C16" i="2"/>
  <c r="B26" i="2"/>
  <c r="D18" i="2"/>
  <c r="F33" i="2"/>
  <c r="H28" i="2"/>
  <c r="C35" i="2"/>
  <c r="C17" i="2"/>
  <c r="A16" i="2"/>
  <c r="E27" i="2"/>
  <c r="C24" i="2"/>
  <c r="E24" i="2"/>
  <c r="A30" i="2"/>
  <c r="B16" i="2"/>
  <c r="C20" i="2"/>
  <c r="G21" i="2"/>
  <c r="F26" i="2"/>
  <c r="D36" i="2"/>
  <c r="F36" i="2"/>
  <c r="D24" i="2"/>
  <c r="B34" i="2"/>
  <c r="E18" i="2"/>
  <c r="D11" i="2"/>
  <c r="D35" i="2"/>
  <c r="D29" i="2"/>
  <c r="G15" i="2"/>
  <c r="D16" i="2"/>
  <c r="F28" i="2"/>
  <c r="F32" i="2"/>
  <c r="A22" i="2"/>
  <c r="C22" i="2"/>
  <c r="F16" i="2"/>
  <c r="D20" i="2"/>
  <c r="G23" i="2"/>
  <c r="G32" i="2"/>
  <c r="G14" i="2"/>
  <c r="D27" i="2"/>
  <c r="D12" i="2"/>
  <c r="E26" i="2"/>
  <c r="F22" i="2"/>
  <c r="A25" i="2"/>
  <c r="C34" i="2"/>
  <c r="B11" i="2"/>
  <c r="C15" i="2"/>
  <c r="H32" i="2"/>
  <c r="F27" i="2"/>
  <c r="D26" i="2"/>
  <c r="B13" i="2"/>
  <c r="C11" i="2"/>
  <c r="D17" i="2"/>
  <c r="A19" i="2"/>
  <c r="F30" i="2"/>
  <c r="E20" i="2"/>
  <c r="H30" i="2"/>
  <c r="B36" i="2"/>
  <c r="D13" i="2"/>
  <c r="D14" i="2"/>
  <c r="A26" i="2"/>
  <c r="B33" i="2"/>
  <c r="G36" i="2"/>
  <c r="E9" i="2"/>
  <c r="A23" i="2"/>
  <c r="B20" i="2"/>
  <c r="A20" i="2"/>
  <c r="F18" i="2"/>
  <c r="E30" i="2"/>
  <c r="B7" i="2"/>
  <c r="B12" i="2"/>
  <c r="F34" i="2"/>
  <c r="G27" i="2"/>
  <c r="B29" i="2"/>
  <c r="B21" i="2"/>
  <c r="B22" i="2"/>
  <c r="D9" i="2"/>
  <c r="B25" i="2"/>
  <c r="F19" i="2"/>
  <c r="D33" i="2"/>
  <c r="A31" i="2"/>
  <c r="B18" i="2"/>
  <c r="C18" i="2"/>
  <c r="D30" i="2"/>
  <c r="A27" i="2"/>
  <c r="H35" i="2"/>
  <c r="C30" i="2"/>
  <c r="F14" i="2"/>
  <c r="G17" i="2"/>
  <c r="E14" i="2"/>
  <c r="E31" i="2"/>
  <c r="B14" i="2"/>
  <c r="F29" i="2"/>
  <c r="C33" i="2"/>
  <c r="D10" i="2"/>
  <c r="F13" i="2"/>
  <c r="F31" i="2"/>
  <c r="C19" i="2"/>
  <c r="C9" i="2"/>
  <c r="C26" i="2"/>
  <c r="G20" i="2"/>
  <c r="D25" i="2"/>
  <c r="D28" i="2"/>
  <c r="G30" i="2"/>
  <c r="G31" i="2"/>
  <c r="F35" i="2"/>
  <c r="C21" i="2"/>
  <c r="G28" i="2"/>
  <c r="F17" i="2"/>
  <c r="D21" i="2"/>
  <c r="A10" i="2"/>
  <c r="G10" i="2"/>
  <c r="G34" i="2"/>
  <c r="A29" i="2"/>
  <c r="E13" i="2"/>
  <c r="H33" i="2"/>
  <c r="E21" i="2"/>
  <c r="B19" i="2"/>
  <c r="B9" i="2"/>
  <c r="F9" i="2"/>
  <c r="G33" i="2"/>
  <c r="A34" i="2"/>
  <c r="B17" i="2"/>
  <c r="G13" i="2"/>
  <c r="A15" i="2"/>
  <c r="F20" i="2"/>
  <c r="D19" i="2"/>
  <c r="C27" i="2"/>
  <c r="A14" i="2"/>
  <c r="F15" i="2"/>
  <c r="F24" i="2"/>
  <c r="G29" i="2"/>
  <c r="E33" i="2"/>
  <c r="E17" i="2"/>
  <c r="F23" i="2"/>
  <c r="H34" i="2"/>
  <c r="C32" i="2"/>
  <c r="A18" i="2"/>
  <c r="C12" i="2"/>
  <c r="B27" i="2"/>
  <c r="G9" i="2"/>
  <c r="D32" i="2"/>
  <c r="B23" i="2"/>
  <c r="E15" i="2"/>
  <c r="E36" i="2"/>
  <c r="D31" i="2"/>
  <c r="F11" i="2"/>
  <c r="C31" i="2"/>
  <c r="A24" i="2"/>
  <c r="G16" i="2"/>
  <c r="F12" i="2"/>
  <c r="A12" i="2"/>
  <c r="G35" i="2"/>
  <c r="G26" i="2"/>
  <c r="B28" i="2"/>
  <c r="B32" i="2"/>
  <c r="H36" i="2"/>
  <c r="B31" i="2"/>
  <c r="A9" i="2"/>
  <c r="F21" i="2"/>
  <c r="C25" i="2"/>
  <c r="E12" i="2"/>
  <c r="A36" i="2"/>
  <c r="C28" i="2"/>
  <c r="H29" i="2"/>
  <c r="E23" i="2"/>
  <c r="H31" i="2"/>
  <c r="C29" i="2"/>
  <c r="G25" i="2"/>
  <c r="B10" i="2"/>
  <c r="B30" i="2"/>
  <c r="E22" i="2"/>
  <c r="C10" i="2"/>
  <c r="A32" i="2"/>
  <c r="A11" i="2"/>
  <c r="A13" i="2"/>
  <c r="D15" i="2"/>
  <c r="B15" i="2"/>
  <c r="E16" i="2"/>
  <c r="B24" i="2"/>
  <c r="E19" i="2"/>
  <c r="F25" i="2"/>
  <c r="C23" i="2"/>
  <c r="A33" i="2"/>
  <c r="A17" i="2"/>
  <c r="E28" i="2"/>
  <c r="E34" i="2"/>
  <c r="F10" i="2"/>
  <c r="B35" i="2"/>
  <c r="G22" i="2"/>
  <c r="G12" i="2"/>
  <c r="E29" i="2"/>
  <c r="C13" i="2"/>
  <c r="E11" i="2"/>
  <c r="A35" i="2"/>
  <c r="D22" i="2"/>
  <c r="D34" i="2"/>
  <c r="G18" i="2"/>
  <c r="D23" i="2"/>
  <c r="C36" i="2"/>
  <c r="E32" i="2"/>
  <c r="G19" i="2"/>
  <c r="E10" i="2"/>
  <c r="A28" i="2"/>
  <c r="A21" i="2"/>
  <c r="C14" i="2"/>
  <c r="G11" i="2"/>
  <c r="E25" i="2"/>
</calcChain>
</file>

<file path=xl/sharedStrings.xml><?xml version="1.0" encoding="utf-8"?>
<sst xmlns="http://schemas.openxmlformats.org/spreadsheetml/2006/main" count="457" uniqueCount="321">
  <si>
    <t>1</t>
  </si>
  <si>
    <t>あさひ園</t>
    <rPh sb="3" eb="4">
      <t>エン</t>
    </rPh>
    <phoneticPr fontId="1"/>
  </si>
  <si>
    <t>３５-５７５７</t>
  </si>
  <si>
    <t>(福)郷寿会</t>
    <rPh sb="1" eb="2">
      <t>フク</t>
    </rPh>
    <rPh sb="3" eb="4">
      <t>ゴウ</t>
    </rPh>
    <rPh sb="4" eb="5">
      <t>ジュ</t>
    </rPh>
    <rPh sb="5" eb="6">
      <t>カイ</t>
    </rPh>
    <phoneticPr fontId="1"/>
  </si>
  <si>
    <t>2</t>
  </si>
  <si>
    <t>行楽園</t>
    <rPh sb="0" eb="2">
      <t>コウラク</t>
    </rPh>
    <rPh sb="2" eb="3">
      <t>エン</t>
    </rPh>
    <phoneticPr fontId="1"/>
  </si>
  <si>
    <t>３８-２０１１</t>
  </si>
  <si>
    <t>(福)敬愛会</t>
    <rPh sb="1" eb="2">
      <t>フク</t>
    </rPh>
    <rPh sb="3" eb="5">
      <t>ケイアイ</t>
    </rPh>
    <rPh sb="5" eb="6">
      <t>カイ</t>
    </rPh>
    <phoneticPr fontId="1"/>
  </si>
  <si>
    <t>3</t>
  </si>
  <si>
    <t>すずらんの里</t>
    <rPh sb="5" eb="6">
      <t>サト</t>
    </rPh>
    <phoneticPr fontId="1"/>
  </si>
  <si>
    <t>３９-７５１１</t>
  </si>
  <si>
    <t>(福)天龍会</t>
    <rPh sb="1" eb="2">
      <t>フク</t>
    </rPh>
    <rPh sb="3" eb="5">
      <t>テンリュウ</t>
    </rPh>
    <rPh sb="5" eb="6">
      <t>カイ</t>
    </rPh>
    <phoneticPr fontId="1"/>
  </si>
  <si>
    <t>4</t>
  </si>
  <si>
    <t>ま心苑</t>
    <rPh sb="1" eb="2">
      <t>ココロ</t>
    </rPh>
    <rPh sb="2" eb="3">
      <t>エン</t>
    </rPh>
    <phoneticPr fontId="1"/>
  </si>
  <si>
    <t>３１-７６００</t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</si>
  <si>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1"/>
  </si>
  <si>
    <t>5</t>
  </si>
  <si>
    <t>みやび園</t>
    <rPh sb="3" eb="4">
      <t>エン</t>
    </rPh>
    <phoneticPr fontId="1"/>
  </si>
  <si>
    <t>３２-００８８</t>
  </si>
  <si>
    <t>(福)松高福祉会</t>
    <rPh sb="1" eb="2">
      <t>フク</t>
    </rPh>
    <rPh sb="3" eb="4">
      <t>マツ</t>
    </rPh>
    <rPh sb="4" eb="5">
      <t>タカ</t>
    </rPh>
    <rPh sb="5" eb="7">
      <t>フクシ</t>
    </rPh>
    <rPh sb="7" eb="8">
      <t>カイ</t>
    </rPh>
    <phoneticPr fontId="1"/>
  </si>
  <si>
    <t>6</t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</si>
  <si>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1"/>
  </si>
  <si>
    <t>５３-７２７７</t>
  </si>
  <si>
    <t>(福)川岳福祉会</t>
    <rPh sb="1" eb="2">
      <t>フク</t>
    </rPh>
    <rPh sb="3" eb="4">
      <t>カワ</t>
    </rPh>
    <rPh sb="4" eb="5">
      <t>ガク</t>
    </rPh>
    <rPh sb="5" eb="7">
      <t>フクシ</t>
    </rPh>
    <rPh sb="7" eb="8">
      <t>カイ</t>
    </rPh>
    <phoneticPr fontId="1"/>
  </si>
  <si>
    <t>7</t>
  </si>
  <si>
    <t>康和苑</t>
    <rPh sb="0" eb="2">
      <t>コウワ</t>
    </rPh>
    <rPh sb="2" eb="3">
      <t>エン</t>
    </rPh>
    <phoneticPr fontId="1"/>
  </si>
  <si>
    <t>４６-１１４４</t>
  </si>
  <si>
    <t>(福)康和福祉会</t>
    <rPh sb="1" eb="2">
      <t>フク</t>
    </rPh>
    <rPh sb="3" eb="5">
      <t>コウワ</t>
    </rPh>
    <rPh sb="5" eb="7">
      <t>フクシ</t>
    </rPh>
    <rPh sb="7" eb="8">
      <t>カイ</t>
    </rPh>
    <phoneticPr fontId="1"/>
  </si>
  <si>
    <t>8</t>
  </si>
  <si>
    <t>安寿の里</t>
    <rPh sb="0" eb="2">
      <t>アンジュ</t>
    </rPh>
    <rPh sb="3" eb="4">
      <t>サト</t>
    </rPh>
    <phoneticPr fontId="1"/>
  </si>
  <si>
    <t>５３-２１００</t>
  </si>
  <si>
    <t>(福)至誠会</t>
    <rPh sb="1" eb="2">
      <t>フク</t>
    </rPh>
    <rPh sb="3" eb="4">
      <t>シ</t>
    </rPh>
    <rPh sb="4" eb="5">
      <t>セイ</t>
    </rPh>
    <rPh sb="5" eb="6">
      <t>カイ</t>
    </rPh>
    <phoneticPr fontId="1"/>
  </si>
  <si>
    <t>9</t>
  </si>
  <si>
    <t>ひかわの里</t>
    <rPh sb="4" eb="5">
      <t>サト</t>
    </rPh>
    <phoneticPr fontId="1"/>
  </si>
  <si>
    <t>６５-３１００</t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</si>
  <si>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1"/>
  </si>
  <si>
    <t>みなみ園</t>
    <rPh sb="3" eb="4">
      <t>エン</t>
    </rPh>
    <phoneticPr fontId="1"/>
  </si>
  <si>
    <t>日奈久塩南町54</t>
    <rPh sb="0" eb="3">
      <t>ヒナグ</t>
    </rPh>
    <rPh sb="4" eb="6">
      <t>ミナミマチ</t>
    </rPh>
    <phoneticPr fontId="1"/>
  </si>
  <si>
    <t>３８－３７３０</t>
  </si>
  <si>
    <r>
      <t xml:space="preserve">【　介 護 保 険 に よ る 施 設 </t>
    </r>
    <r>
      <rPr>
        <b/>
        <sz val="12"/>
        <rFont val="ＭＳ Ｐゴシック"/>
        <family val="3"/>
        <charset val="128"/>
      </rPr>
      <t>（介護の認定が必要）　】　　</t>
    </r>
    <r>
      <rPr>
        <b/>
        <sz val="11"/>
        <rFont val="ＭＳ Ｐゴシック"/>
        <family val="3"/>
        <charset val="128"/>
      </rPr>
      <t>※お申込みは各事業者へ</t>
    </r>
    <rPh sb="2" eb="3">
      <t>スケ</t>
    </rPh>
    <rPh sb="4" eb="5">
      <t>ユズル</t>
    </rPh>
    <rPh sb="6" eb="7">
      <t>ホ</t>
    </rPh>
    <rPh sb="8" eb="9">
      <t>ケン</t>
    </rPh>
    <rPh sb="16" eb="17">
      <t>シ</t>
    </rPh>
    <rPh sb="18" eb="19">
      <t>セツ</t>
    </rPh>
    <rPh sb="21" eb="23">
      <t>カイゴ</t>
    </rPh>
    <rPh sb="24" eb="26">
      <t>ニンテイ</t>
    </rPh>
    <rPh sb="27" eb="29">
      <t>ヒツヨウ</t>
    </rPh>
    <rPh sb="36" eb="37">
      <t>モウ</t>
    </rPh>
    <rPh sb="37" eb="38">
      <t>コ</t>
    </rPh>
    <rPh sb="40" eb="41">
      <t>カク</t>
    </rPh>
    <rPh sb="41" eb="44">
      <t>ジギョウシャ</t>
    </rPh>
    <phoneticPr fontId="7"/>
  </si>
  <si>
    <t>施設の名称</t>
    <rPh sb="0" eb="2">
      <t>シセツ</t>
    </rPh>
    <rPh sb="3" eb="5">
      <t>メイショウ</t>
    </rPh>
    <phoneticPr fontId="7"/>
  </si>
  <si>
    <t>住所（八代市）</t>
    <rPh sb="0" eb="2">
      <t>ジュウショ</t>
    </rPh>
    <rPh sb="3" eb="6">
      <t>ヤツシロシ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</si>
  <si>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</si>
  <si>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</si>
  <si>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定員</t>
    <rPh sb="0" eb="2">
      <t>テイイン</t>
    </rPh>
    <phoneticPr fontId="7"/>
  </si>
  <si>
    <t>現入所者数</t>
    <rPh sb="0" eb="1">
      <t>ゲン</t>
    </rPh>
    <rPh sb="1" eb="4">
      <t>ニュウショシャ</t>
    </rPh>
    <rPh sb="4" eb="5">
      <t>スウ</t>
    </rPh>
    <phoneticPr fontId="7"/>
  </si>
  <si>
    <t>入所待機者数</t>
    <rPh sb="0" eb="2">
      <t>ニュウショ</t>
    </rPh>
    <rPh sb="2" eb="5">
      <t>タイキシャ</t>
    </rPh>
    <rPh sb="5" eb="6">
      <t>スウ</t>
    </rPh>
    <phoneticPr fontId="7"/>
  </si>
  <si>
    <t>(福)敬愛会</t>
    <rPh sb="1" eb="2">
      <t>フク</t>
    </rPh>
    <rPh sb="3" eb="5">
      <t>ケイアイ</t>
    </rPh>
    <rPh sb="5" eb="6">
      <t>カイ</t>
    </rPh>
    <phoneticPr fontId="7"/>
  </si>
  <si>
    <t>(福)天龍会</t>
    <rPh sb="1" eb="2">
      <t>フク</t>
    </rPh>
    <rPh sb="3" eb="5">
      <t>テンリュウ</t>
    </rPh>
    <rPh sb="5" eb="6">
      <t>カイ</t>
    </rPh>
    <phoneticPr fontId="7"/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</si>
  <si>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7"/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</si>
  <si>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7"/>
  </si>
  <si>
    <t>希望</t>
    <rPh sb="0" eb="2">
      <t>キボウ</t>
    </rPh>
    <phoneticPr fontId="7"/>
  </si>
  <si>
    <t>(福）龍峯会</t>
    <rPh sb="1" eb="2">
      <t>フク</t>
    </rPh>
    <rPh sb="3" eb="4">
      <t>リュウ</t>
    </rPh>
    <rPh sb="4" eb="5">
      <t>ホウ</t>
    </rPh>
    <rPh sb="5" eb="6">
      <t>カイ</t>
    </rPh>
    <phoneticPr fontId="7"/>
  </si>
  <si>
    <t>八代草</t>
    <rPh sb="0" eb="2">
      <t>ヤツシロ</t>
    </rPh>
    <rPh sb="2" eb="3">
      <t>クサ</t>
    </rPh>
    <phoneticPr fontId="7"/>
  </si>
  <si>
    <t>(福）平成苑</t>
    <rPh sb="1" eb="2">
      <t>フク</t>
    </rPh>
    <rPh sb="3" eb="5">
      <t>ヘイセイ</t>
    </rPh>
    <rPh sb="5" eb="6">
      <t>エン</t>
    </rPh>
    <phoneticPr fontId="7"/>
  </si>
  <si>
    <t>キャッスル麦島</t>
    <rPh sb="5" eb="7">
      <t>ムギシマ</t>
    </rPh>
    <phoneticPr fontId="7"/>
  </si>
  <si>
    <t>(福）八代愛育会</t>
    <rPh sb="1" eb="2">
      <t>フク</t>
    </rPh>
    <rPh sb="3" eb="5">
      <t>ヤツシロ</t>
    </rPh>
    <rPh sb="5" eb="7">
      <t>アイイク</t>
    </rPh>
    <rPh sb="7" eb="8">
      <t>カイ</t>
    </rPh>
    <phoneticPr fontId="7"/>
  </si>
  <si>
    <t>サテライト　安寿の里</t>
    <rPh sb="6" eb="8">
      <t>アンジュ</t>
    </rPh>
    <rPh sb="9" eb="10">
      <t>サト</t>
    </rPh>
    <phoneticPr fontId="7"/>
  </si>
  <si>
    <t>あさひ園みやじ</t>
    <rPh sb="3" eb="4">
      <t>エン</t>
    </rPh>
    <phoneticPr fontId="7"/>
  </si>
  <si>
    <t>宮地町169-1</t>
    <rPh sb="0" eb="3">
      <t>ミヤジマチ</t>
    </rPh>
    <phoneticPr fontId="7"/>
  </si>
  <si>
    <t>(福) 郷寿会</t>
    <rPh sb="4" eb="6">
      <t>キョウジュ</t>
    </rPh>
    <rPh sb="6" eb="7">
      <t>カイ</t>
    </rPh>
    <phoneticPr fontId="7"/>
  </si>
  <si>
    <t>【 介護老人保健施設 】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</si>
  <si>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皇寿園</t>
    <rPh sb="0" eb="1">
      <t>コウ</t>
    </rPh>
    <rPh sb="1" eb="2">
      <t>ジュ</t>
    </rPh>
    <rPh sb="2" eb="3">
      <t>エン</t>
    </rPh>
    <phoneticPr fontId="7"/>
  </si>
  <si>
    <t>３３-５５４５</t>
  </si>
  <si>
    <t>(医)初友会</t>
    <rPh sb="1" eb="2">
      <t>イ</t>
    </rPh>
    <rPh sb="3" eb="4">
      <t>ショ</t>
    </rPh>
    <rPh sb="4" eb="6">
      <t>ユウカイ</t>
    </rPh>
    <phoneticPr fontId="7"/>
  </si>
  <si>
    <t>向春苑</t>
    <rPh sb="0" eb="2">
      <t>コウシュン</t>
    </rPh>
    <rPh sb="2" eb="3">
      <t>エン</t>
    </rPh>
    <phoneticPr fontId="7"/>
  </si>
  <si>
    <t>３３-８６６０</t>
  </si>
  <si>
    <t>(福)権現福祉会</t>
    <rPh sb="1" eb="2">
      <t>フク</t>
    </rPh>
    <rPh sb="3" eb="5">
      <t>ゴンゲン</t>
    </rPh>
    <rPh sb="5" eb="7">
      <t>フクシ</t>
    </rPh>
    <rPh sb="7" eb="8">
      <t>カイ</t>
    </rPh>
    <phoneticPr fontId="7"/>
  </si>
  <si>
    <t>リハリート桜十字八代</t>
    <rPh sb="5" eb="8">
      <t>サクラジュウジ</t>
    </rPh>
    <rPh sb="8" eb="10">
      <t>ヤツシロ</t>
    </rPh>
    <phoneticPr fontId="7"/>
  </si>
  <si>
    <t>３３-８８８０</t>
  </si>
  <si>
    <t>(医)八代桜十字</t>
    <rPh sb="1" eb="2">
      <t>イ</t>
    </rPh>
    <rPh sb="3" eb="5">
      <t>ヤツシロ</t>
    </rPh>
    <rPh sb="5" eb="8">
      <t>サクラジュウジ</t>
    </rPh>
    <phoneticPr fontId="7"/>
  </si>
  <si>
    <t>３７-３７３７</t>
  </si>
  <si>
    <t>(医)カジオ会</t>
    <rPh sb="1" eb="2">
      <t>イ</t>
    </rPh>
    <rPh sb="6" eb="7">
      <t>カイ</t>
    </rPh>
    <phoneticPr fontId="7"/>
  </si>
  <si>
    <t>ﾊﾋﾟﾈｽｹｱ日南</t>
    <rPh sb="7" eb="9">
      <t>ニチナン</t>
    </rPh>
    <phoneticPr fontId="7"/>
  </si>
  <si>
    <t>３８-０７００</t>
  </si>
  <si>
    <t>かがみ苑</t>
    <rPh sb="3" eb="4">
      <t>エン</t>
    </rPh>
    <phoneticPr fontId="7"/>
  </si>
  <si>
    <t>３０-４０００</t>
  </si>
  <si>
    <t>(医)司会</t>
    <rPh sb="1" eb="2">
      <t>イ</t>
    </rPh>
    <rPh sb="3" eb="5">
      <t>シカイ</t>
    </rPh>
    <phoneticPr fontId="7"/>
  </si>
  <si>
    <t>【介護医療院】</t>
    <rPh sb="1" eb="3">
      <t>カイゴ</t>
    </rPh>
    <rPh sb="3" eb="5">
      <t>イリョウ</t>
    </rPh>
    <rPh sb="5" eb="6">
      <t>イン</t>
    </rPh>
    <phoneticPr fontId="7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</si>
  <si>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7"/>
  </si>
  <si>
    <t>３４-７９１１</t>
  </si>
  <si>
    <t>(医)敬仁会</t>
    <rPh sb="1" eb="2">
      <t>イ</t>
    </rPh>
    <rPh sb="3" eb="4">
      <t>ケイ</t>
    </rPh>
    <rPh sb="4" eb="5">
      <t>ジン</t>
    </rPh>
    <rPh sb="5" eb="6">
      <t>カイ</t>
    </rPh>
    <phoneticPr fontId="7"/>
  </si>
  <si>
    <t>平成病院</t>
    <rPh sb="0" eb="2">
      <t>ヘイセイ</t>
    </rPh>
    <rPh sb="2" eb="4">
      <t>ビョウイン</t>
    </rPh>
    <phoneticPr fontId="7"/>
  </si>
  <si>
    <t>３２-８１７１</t>
  </si>
  <si>
    <t>(医)平成会</t>
    <rPh sb="1" eb="2">
      <t>イ</t>
    </rPh>
    <rPh sb="3" eb="5">
      <t>ヘイセイ</t>
    </rPh>
    <rPh sb="5" eb="6">
      <t>カイ</t>
    </rPh>
    <phoneticPr fontId="7"/>
  </si>
  <si>
    <t>【 特定施設入居者生活介護 】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7"/>
  </si>
  <si>
    <t>３７-３０３７</t>
  </si>
  <si>
    <t>(株)HC.ﾌﾞﾛｯｻﾑｽﾞ</t>
    <rPh sb="1" eb="2">
      <t>カブ</t>
    </rPh>
    <phoneticPr fontId="7"/>
  </si>
  <si>
    <t>グッドライフ本町</t>
    <rPh sb="6" eb="8">
      <t>ホンマチ</t>
    </rPh>
    <phoneticPr fontId="7"/>
  </si>
  <si>
    <t>３０-８１８１</t>
  </si>
  <si>
    <t>(医)明朋会</t>
    <rPh sb="1" eb="2">
      <t>イ</t>
    </rPh>
    <rPh sb="3" eb="4">
      <t>メイ</t>
    </rPh>
    <rPh sb="4" eb="5">
      <t>ホウ</t>
    </rPh>
    <rPh sb="5" eb="6">
      <t>カイ</t>
    </rPh>
    <phoneticPr fontId="7"/>
  </si>
  <si>
    <t>【 認知症対応型共同生活介護　（グループホーム） 】</t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7"/>
  </si>
  <si>
    <t>３０-８９５２</t>
  </si>
  <si>
    <t>(有)あい</t>
    <rPh sb="1" eb="2">
      <t>ユウ</t>
    </rPh>
    <phoneticPr fontId="7"/>
  </si>
  <si>
    <t>ｸﾞﾙｰﾌﾟﾎｰﾑま心</t>
    <rPh sb="10" eb="11">
      <t>ココロ</t>
    </rPh>
    <phoneticPr fontId="7"/>
  </si>
  <si>
    <t>ｸﾞﾙｰﾌﾟﾎｰﾑ清陽</t>
    <rPh sb="9" eb="10">
      <t>セイ</t>
    </rPh>
    <rPh sb="10" eb="11">
      <t>ヨウ</t>
    </rPh>
    <phoneticPr fontId="7"/>
  </si>
  <si>
    <t>３５-０６７８</t>
  </si>
  <si>
    <t>ｸﾞﾙｰﾌﾟﾎｰﾑ神苑</t>
    <rPh sb="9" eb="11">
      <t>シンエン</t>
    </rPh>
    <phoneticPr fontId="7"/>
  </si>
  <si>
    <t>３２-５５００</t>
  </si>
  <si>
    <t>(有)神苑</t>
    <rPh sb="1" eb="2">
      <t>ユウ</t>
    </rPh>
    <rPh sb="3" eb="5">
      <t>シンエン</t>
    </rPh>
    <phoneticPr fontId="7"/>
  </si>
  <si>
    <t>ｸﾞﾙｰﾌﾟﾎｰﾑ氷川</t>
    <rPh sb="9" eb="11">
      <t>ヒカワ</t>
    </rPh>
    <phoneticPr fontId="7"/>
  </si>
  <si>
    <t>６５-３１０１</t>
  </si>
  <si>
    <t>５２-８１５１</t>
  </si>
  <si>
    <t>（有）ウェルフェアファーム</t>
    <rPh sb="1" eb="2">
      <t>ユウ</t>
    </rPh>
    <phoneticPr fontId="7"/>
  </si>
  <si>
    <t>ｸﾞﾙｰﾌﾟﾎｰﾑうやなぎの杜</t>
    <rPh sb="14" eb="15">
      <t>モリ</t>
    </rPh>
    <phoneticPr fontId="7"/>
  </si>
  <si>
    <t>(NPO)八竜会</t>
    <rPh sb="5" eb="7">
      <t>ハチリュウ</t>
    </rPh>
    <rPh sb="7" eb="8">
      <t>カイ</t>
    </rPh>
    <phoneticPr fontId="7"/>
  </si>
  <si>
    <t>４６-１１８０</t>
  </si>
  <si>
    <t>(有)のぞみ</t>
    <rPh sb="1" eb="2">
      <t>ユウ</t>
    </rPh>
    <phoneticPr fontId="7"/>
  </si>
  <si>
    <t>ｸﾞﾙｰﾌﾟﾎｰﾑ福寿荘</t>
    <rPh sb="9" eb="11">
      <t>フクジュ</t>
    </rPh>
    <rPh sb="11" eb="12">
      <t>ソウ</t>
    </rPh>
    <phoneticPr fontId="7"/>
  </si>
  <si>
    <t>３９-６１００</t>
  </si>
  <si>
    <t>(有)福寿荘</t>
    <rPh sb="1" eb="2">
      <t>ユウ</t>
    </rPh>
    <rPh sb="3" eb="5">
      <t>フクジュ</t>
    </rPh>
    <rPh sb="5" eb="6">
      <t>ソウ</t>
    </rPh>
    <phoneticPr fontId="7"/>
  </si>
  <si>
    <t>ｸﾞﾙｰﾌﾟﾎｰﾑきずなの郷</t>
    <rPh sb="13" eb="14">
      <t>サト</t>
    </rPh>
    <phoneticPr fontId="7"/>
  </si>
  <si>
    <t>３５-９８８０</t>
  </si>
  <si>
    <t>(有)ラポール新世園</t>
    <rPh sb="1" eb="2">
      <t>ユウ</t>
    </rPh>
    <rPh sb="7" eb="10">
      <t>シンセイエン</t>
    </rPh>
    <phoneticPr fontId="7"/>
  </si>
  <si>
    <t>ｸﾞﾙｰﾌﾟﾎｰﾑだいふくの杜</t>
    <rPh sb="14" eb="15">
      <t>モリ</t>
    </rPh>
    <phoneticPr fontId="7"/>
  </si>
  <si>
    <t>ｸﾞﾙｰﾌﾟﾎｰﾑ清陽「すえひろ」</t>
    <rPh sb="9" eb="10">
      <t>セイ</t>
    </rPh>
    <rPh sb="10" eb="11">
      <t>ヨウ</t>
    </rPh>
    <phoneticPr fontId="7"/>
  </si>
  <si>
    <t>ｸﾞﾙｰﾌﾟﾎｰﾑ｢ｸﾞﾘｰﾝｺｰﾌﾟほのか・八代」</t>
    <rPh sb="23" eb="25">
      <t>ヤツシロ</t>
    </rPh>
    <phoneticPr fontId="7"/>
  </si>
  <si>
    <t>（福）グリーンコープ</t>
    <rPh sb="1" eb="2">
      <t>フク</t>
    </rPh>
    <phoneticPr fontId="7"/>
  </si>
  <si>
    <t>（医）明佑会</t>
    <rPh sb="1" eb="2">
      <t>イ</t>
    </rPh>
    <rPh sb="3" eb="4">
      <t>メイ</t>
    </rPh>
    <rPh sb="4" eb="5">
      <t>ユウ</t>
    </rPh>
    <rPh sb="5" eb="6">
      <t>カイ</t>
    </rPh>
    <phoneticPr fontId="7"/>
  </si>
  <si>
    <t>ｸﾞﾙｰﾌﾟﾎｰﾑ清流</t>
    <rPh sb="9" eb="10">
      <t>セイ</t>
    </rPh>
    <rPh sb="10" eb="11">
      <t>リュウ</t>
    </rPh>
    <phoneticPr fontId="7"/>
  </si>
  <si>
    <t>（株）大渕産業</t>
    <rPh sb="1" eb="2">
      <t>カブ</t>
    </rPh>
    <rPh sb="3" eb="5">
      <t>オオフチ</t>
    </rPh>
    <rPh sb="5" eb="7">
      <t>サンギョウ</t>
    </rPh>
    <phoneticPr fontId="7"/>
  </si>
  <si>
    <t>ｸﾞﾙｰﾌﾟﾎｰﾑしあわせの里</t>
    <rPh sb="14" eb="15">
      <t>サト</t>
    </rPh>
    <phoneticPr fontId="7"/>
  </si>
  <si>
    <t>（福）川岳福祉会</t>
    <rPh sb="1" eb="2">
      <t>フク</t>
    </rPh>
    <rPh sb="3" eb="4">
      <t>カワ</t>
    </rPh>
    <rPh sb="4" eb="5">
      <t>タケ</t>
    </rPh>
    <rPh sb="5" eb="7">
      <t>フクシ</t>
    </rPh>
    <rPh sb="7" eb="8">
      <t>カイ</t>
    </rPh>
    <phoneticPr fontId="7"/>
  </si>
  <si>
    <t>ｸﾞﾙｰﾌﾟﾎｰﾑ清風</t>
    <rPh sb="9" eb="10">
      <t>セイ</t>
    </rPh>
    <rPh sb="10" eb="11">
      <t>カゼ</t>
    </rPh>
    <phoneticPr fontId="7"/>
  </si>
  <si>
    <t>（株）大渕産業</t>
  </si>
  <si>
    <t>ｸﾞﾙｰﾌﾟﾎｰﾑ清花</t>
    <rPh sb="9" eb="10">
      <t>セイ</t>
    </rPh>
    <rPh sb="10" eb="11">
      <t>ハナ</t>
    </rPh>
    <phoneticPr fontId="7"/>
  </si>
  <si>
    <t>郡築一番町103番9</t>
    <rPh sb="0" eb="2">
      <t>グンチク</t>
    </rPh>
    <rPh sb="2" eb="4">
      <t>イチバン</t>
    </rPh>
    <rPh sb="4" eb="5">
      <t>マチ</t>
    </rPh>
    <rPh sb="8" eb="9">
      <t>バン</t>
    </rPh>
    <phoneticPr fontId="7"/>
  </si>
  <si>
    <t>【 小規模多機能型居宅介護 】</t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7"/>
  </si>
  <si>
    <t>４６-１７９０</t>
  </si>
  <si>
    <t>(有)キッポー</t>
    <rPh sb="1" eb="2">
      <t>ユウ</t>
    </rPh>
    <phoneticPr fontId="7"/>
  </si>
  <si>
    <t>憩いの家　楽しみ</t>
    <rPh sb="0" eb="1">
      <t>イコ</t>
    </rPh>
    <rPh sb="3" eb="4">
      <t>イエ</t>
    </rPh>
    <rPh sb="5" eb="6">
      <t>タノ</t>
    </rPh>
    <phoneticPr fontId="7"/>
  </si>
  <si>
    <t>３５-１６１６</t>
  </si>
  <si>
    <t>(福)二見中央福祉会</t>
    <rPh sb="1" eb="2">
      <t>フク</t>
    </rPh>
    <rPh sb="3" eb="5">
      <t>フタミ</t>
    </rPh>
    <rPh sb="5" eb="7">
      <t>チュウオウ</t>
    </rPh>
    <rPh sb="7" eb="9">
      <t>フクシ</t>
    </rPh>
    <rPh sb="9" eb="10">
      <t>カイ</t>
    </rPh>
    <phoneticPr fontId="7"/>
  </si>
  <si>
    <t>木もれびの家</t>
    <rPh sb="0" eb="1">
      <t>キ</t>
    </rPh>
    <rPh sb="5" eb="6">
      <t>イエ</t>
    </rPh>
    <phoneticPr fontId="7"/>
  </si>
  <si>
    <t>６５-３０１１</t>
  </si>
  <si>
    <t>なごみの広場</t>
    <rPh sb="4" eb="6">
      <t>ヒロバ</t>
    </rPh>
    <phoneticPr fontId="7"/>
  </si>
  <si>
    <t>豊原下町4115番地</t>
    <rPh sb="0" eb="4">
      <t>ブイワラシモマチ</t>
    </rPh>
    <rPh sb="8" eb="10">
      <t>バンチ</t>
    </rPh>
    <phoneticPr fontId="7"/>
  </si>
  <si>
    <t>３５-０１１２</t>
  </si>
  <si>
    <t>３３-２０３４</t>
  </si>
  <si>
    <t>(株)ヒューマンケアブロッサムズ</t>
    <rPh sb="1" eb="2">
      <t>カブ</t>
    </rPh>
    <phoneticPr fontId="7"/>
  </si>
  <si>
    <t>小規模多機能ホームこうだ</t>
    <rPh sb="0" eb="3">
      <t>ショウキボ</t>
    </rPh>
    <rPh sb="3" eb="6">
      <t>タキノウ</t>
    </rPh>
    <phoneticPr fontId="7"/>
  </si>
  <si>
    <t>３５-１５６６</t>
  </si>
  <si>
    <t>桃の花</t>
    <rPh sb="0" eb="1">
      <t>モモ</t>
    </rPh>
    <rPh sb="2" eb="3">
      <t>ハナ</t>
    </rPh>
    <phoneticPr fontId="7"/>
  </si>
  <si>
    <t>５２-００１２</t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</si>
  <si>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7"/>
  </si>
  <si>
    <t>６７-２８８８</t>
  </si>
  <si>
    <t>小規模多機能ホーム　ブロッサムⅡ</t>
    <rPh sb="0" eb="6">
      <t>ショウキボタキノウ</t>
    </rPh>
    <phoneticPr fontId="7"/>
  </si>
  <si>
    <t>郡築３番町81-1</t>
    <rPh sb="0" eb="2">
      <t>グンチク</t>
    </rPh>
    <rPh sb="3" eb="5">
      <t>バンチョウ</t>
    </rPh>
    <phoneticPr fontId="7"/>
  </si>
  <si>
    <t>　【 複合型サービス 】</t>
    <rPh sb="3" eb="6">
      <t>フクゴウガタ</t>
    </rPh>
    <phoneticPr fontId="7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</si>
  <si>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7"/>
  </si>
  <si>
    <t>セントケア看護小規模八代</t>
    <rPh sb="5" eb="7">
      <t>カンゴ</t>
    </rPh>
    <rPh sb="7" eb="10">
      <t>ショウキボ</t>
    </rPh>
    <rPh sb="10" eb="12">
      <t>ヤツシロ</t>
    </rPh>
    <phoneticPr fontId="7"/>
  </si>
  <si>
    <t>セントケア九州（株）</t>
    <rPh sb="5" eb="7">
      <t>キュウシュウ</t>
    </rPh>
    <rPh sb="7" eb="10">
      <t>カブ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</si>
  <si>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</si>
  <si>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</si>
  <si>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３９-１１２０</t>
  </si>
  <si>
    <t>６２-８５５０</t>
  </si>
  <si>
    <t>６２-８８６８</t>
  </si>
  <si>
    <t>３７-８５５５</t>
  </si>
  <si>
    <t>(福) 至誠会</t>
  </si>
  <si>
    <t>４５－５５９５</t>
  </si>
  <si>
    <t>【 介護老人福祉施設 】</t>
    <phoneticPr fontId="3"/>
  </si>
  <si>
    <t>要介護３以上の認定者。費用は介護度、部屋のタイプ、施設の体制により異なる。常に介護が必要で、自宅では介護ができない方が対象の施設。食事、入浴等の日常生活の介護や健康管理を行う。</t>
    <phoneticPr fontId="3"/>
  </si>
  <si>
    <t>【 地域密着型介護老人福祉施設（小規模特養） 】</t>
    <phoneticPr fontId="3"/>
  </si>
  <si>
    <t>病状が安定し、リハビリに重点を置いた介護が必要な方が対象。
医学的な管理のもとでの介護や看護、リハビリを行う。
要介護１以上の認定者。費用は介護度、部屋のタイプ、施設の体制により異なる。</t>
    <phoneticPr fontId="3"/>
  </si>
  <si>
    <t>とまと</t>
  </si>
  <si>
    <t>要介護１以上の認定者。費用は介護度により異なる。
医療と介護が一体的に受けられます。主に長期にわたり療養が必要な人が対象。</t>
    <phoneticPr fontId="3"/>
  </si>
  <si>
    <t>有料老人ホームなどで食事、入浴などの介護や機能訓練が受けられる施設。</t>
    <phoneticPr fontId="3"/>
  </si>
  <si>
    <t>ブロッサムやつしろ</t>
  </si>
  <si>
    <t>ブロッサムやつしろⅢ</t>
  </si>
  <si>
    <t>４５－５４７２</t>
  </si>
  <si>
    <t>【 地域密着型特定施設入居者生活介護 】</t>
    <phoneticPr fontId="3"/>
  </si>
  <si>
    <t>ｸﾞﾙｰﾌﾟﾎｰﾑあい</t>
  </si>
  <si>
    <t>ｸﾞﾙｰﾌﾟﾎｰﾑざぼん</t>
  </si>
  <si>
    <t>３５－２１２０</t>
  </si>
  <si>
    <t>３５－２１２１</t>
  </si>
  <si>
    <t>３３－５００１</t>
  </si>
  <si>
    <t>３０－０１３１</t>
  </si>
  <si>
    <t>ｸﾞﾙｰﾌﾟﾎｰﾑひかり</t>
  </si>
  <si>
    <t>６２－８４６８</t>
  </si>
  <si>
    <t>３７－１０８８</t>
  </si>
  <si>
    <t>３８－９１９１</t>
  </si>
  <si>
    <t>３２－３２００</t>
  </si>
  <si>
    <t>３７―８２２８</t>
  </si>
  <si>
    <t>小規模な住居型の施設で、通いを中心としながら訪問、短期間の宿泊などを組み合わせて食事、入浴などの介護や支援が受けられる。</t>
    <phoneticPr fontId="3"/>
  </si>
  <si>
    <t>吉方庵（きっぽうあん）</t>
  </si>
  <si>
    <t>ブロッサム</t>
  </si>
  <si>
    <t>合同会社　如月</t>
  </si>
  <si>
    <t>３７-３５３３</t>
  </si>
  <si>
    <t>医療ニーズの高い要介護者に対応するため、小規模多機能居宅介護のサービスに加え、必要に応じて訪問看護のサービスがうけられる。</t>
    <phoneticPr fontId="3"/>
  </si>
  <si>
    <t>６２-８８６５</t>
  </si>
  <si>
    <t>５２-８２１１</t>
  </si>
  <si>
    <t>介護老人保健施設</t>
  </si>
  <si>
    <t>介護医療院</t>
  </si>
  <si>
    <t>特定施設入居者生活介護</t>
  </si>
  <si>
    <t>地域密着型特定施設入居者生活介護</t>
  </si>
  <si>
    <t>小規模多機能型居宅介護</t>
  </si>
  <si>
    <t>複合型サービス</t>
  </si>
  <si>
    <t>認知症対応型共同生活介護</t>
  </si>
  <si>
    <t>施設の種類</t>
    <rPh sb="0" eb="2">
      <t>シセツ</t>
    </rPh>
    <rPh sb="3" eb="5">
      <t>シュルイ</t>
    </rPh>
    <phoneticPr fontId="3"/>
  </si>
  <si>
    <t>上日置町2345</t>
    <rPh sb="0" eb="4">
      <t>カミヒオキマチ</t>
    </rPh>
    <phoneticPr fontId="1"/>
  </si>
  <si>
    <t>日奈久塩北町2905</t>
    <rPh sb="0" eb="6">
      <t>ヒナグシオキタマチ</t>
    </rPh>
    <phoneticPr fontId="1"/>
  </si>
  <si>
    <t>葭牟田町435</t>
    <rPh sb="0" eb="4">
      <t>ヨシムタマチ</t>
    </rPh>
    <phoneticPr fontId="1"/>
  </si>
  <si>
    <t>敷川内町2251-1</t>
    <rPh sb="0" eb="1">
      <t>シキ</t>
    </rPh>
    <rPh sb="1" eb="4">
      <t>カワウチマチ</t>
    </rPh>
    <phoneticPr fontId="1"/>
  </si>
  <si>
    <t>高島町4221</t>
    <rPh sb="0" eb="3">
      <t>タカシママチ</t>
    </rPh>
    <phoneticPr fontId="1"/>
  </si>
  <si>
    <t>坂本町坂本1071</t>
    <rPh sb="0" eb="2">
      <t>サカモト</t>
    </rPh>
    <rPh sb="2" eb="3">
      <t>マチ</t>
    </rPh>
    <rPh sb="3" eb="5">
      <t>サカモト</t>
    </rPh>
    <phoneticPr fontId="1"/>
  </si>
  <si>
    <t>千丁町太牟田1300-8</t>
    <rPh sb="0" eb="3">
      <t>センチョウマチ</t>
    </rPh>
    <rPh sb="3" eb="4">
      <t>フト</t>
    </rPh>
    <rPh sb="4" eb="6">
      <t>ムタ</t>
    </rPh>
    <phoneticPr fontId="1"/>
  </si>
  <si>
    <t>鏡町両出880-1</t>
    <rPh sb="0" eb="2">
      <t>カガミマチ</t>
    </rPh>
    <rPh sb="2" eb="3">
      <t>リョウ</t>
    </rPh>
    <rPh sb="3" eb="4">
      <t>デ</t>
    </rPh>
    <phoneticPr fontId="1"/>
  </si>
  <si>
    <t>東陽町南752-1</t>
    <rPh sb="0" eb="2">
      <t>トウヨウ</t>
    </rPh>
    <rPh sb="2" eb="3">
      <t>マチ</t>
    </rPh>
    <rPh sb="3" eb="4">
      <t>ミナミ</t>
    </rPh>
    <phoneticPr fontId="1"/>
  </si>
  <si>
    <t>興善寺町495-1</t>
    <rPh sb="0" eb="4">
      <t>コウゼンジマチ</t>
    </rPh>
    <phoneticPr fontId="7"/>
  </si>
  <si>
    <t>海士江町2833-1</t>
    <rPh sb="0" eb="4">
      <t>アマガエマチ</t>
    </rPh>
    <phoneticPr fontId="7"/>
  </si>
  <si>
    <t>古城町1938-1</t>
    <rPh sb="0" eb="3">
      <t>フルシロマチ</t>
    </rPh>
    <phoneticPr fontId="7"/>
  </si>
  <si>
    <t>鏡町内田742-2</t>
    <rPh sb="0" eb="2">
      <t>カガミマチ</t>
    </rPh>
    <rPh sb="2" eb="4">
      <t>ウチダ</t>
    </rPh>
    <phoneticPr fontId="7"/>
  </si>
  <si>
    <t>高島町4218</t>
    <rPh sb="0" eb="3">
      <t>タカシママチ</t>
    </rPh>
    <phoneticPr fontId="7"/>
  </si>
  <si>
    <t>大福寺町2411-1</t>
    <rPh sb="0" eb="1">
      <t>ダイ</t>
    </rPh>
    <rPh sb="1" eb="2">
      <t>フク</t>
    </rPh>
    <rPh sb="2" eb="3">
      <t>ジ</t>
    </rPh>
    <rPh sb="3" eb="4">
      <t>マチ</t>
    </rPh>
    <phoneticPr fontId="7"/>
  </si>
  <si>
    <t>古閑浜町3401</t>
    <rPh sb="0" eb="4">
      <t>コガハママチ</t>
    </rPh>
    <phoneticPr fontId="7"/>
  </si>
  <si>
    <t>郡築一番町180-1</t>
    <rPh sb="0" eb="1">
      <t>グン</t>
    </rPh>
    <rPh sb="1" eb="2">
      <t>チク</t>
    </rPh>
    <rPh sb="2" eb="5">
      <t>イチバンチョウ</t>
    </rPh>
    <phoneticPr fontId="7"/>
  </si>
  <si>
    <t>日奈久塩北町2922</t>
    <rPh sb="0" eb="3">
      <t>ヒナグ</t>
    </rPh>
    <rPh sb="3" eb="4">
      <t>シオ</t>
    </rPh>
    <rPh sb="4" eb="5">
      <t>キタ</t>
    </rPh>
    <rPh sb="5" eb="6">
      <t>マチ</t>
    </rPh>
    <phoneticPr fontId="7"/>
  </si>
  <si>
    <t>鏡町塩浜235</t>
    <rPh sb="0" eb="2">
      <t>カガミマチ</t>
    </rPh>
    <rPh sb="2" eb="4">
      <t>シオハマ</t>
    </rPh>
    <phoneticPr fontId="7"/>
  </si>
  <si>
    <t>海士江町2817</t>
    <rPh sb="0" eb="4">
      <t>アマガエマチ</t>
    </rPh>
    <phoneticPr fontId="7"/>
  </si>
  <si>
    <t>大村町720-1</t>
    <rPh sb="0" eb="3">
      <t>オオムラマチ</t>
    </rPh>
    <phoneticPr fontId="7"/>
  </si>
  <si>
    <t>郡築四番町101-4</t>
    <rPh sb="0" eb="1">
      <t>グン</t>
    </rPh>
    <rPh sb="1" eb="2">
      <t>チク</t>
    </rPh>
    <rPh sb="2" eb="5">
      <t>ヨンバンチョウ</t>
    </rPh>
    <phoneticPr fontId="7"/>
  </si>
  <si>
    <t>郡築三番町81-2</t>
    <rPh sb="0" eb="1">
      <t>グン</t>
    </rPh>
    <rPh sb="1" eb="2">
      <t>チク</t>
    </rPh>
    <rPh sb="2" eb="3">
      <t>サン</t>
    </rPh>
    <rPh sb="3" eb="5">
      <t>バンチョウ</t>
    </rPh>
    <phoneticPr fontId="7"/>
  </si>
  <si>
    <t>本町１丁目1-60</t>
    <rPh sb="0" eb="2">
      <t>ホンマチ</t>
    </rPh>
    <rPh sb="3" eb="5">
      <t>チョウメ</t>
    </rPh>
    <phoneticPr fontId="7"/>
  </si>
  <si>
    <t>島田町863-3</t>
    <rPh sb="0" eb="3">
      <t>シマダマチ</t>
    </rPh>
    <phoneticPr fontId="7"/>
  </si>
  <si>
    <t>敷川内町2243-2</t>
    <rPh sb="0" eb="1">
      <t>シキ</t>
    </rPh>
    <rPh sb="1" eb="4">
      <t>カワウチマチ</t>
    </rPh>
    <phoneticPr fontId="7"/>
  </si>
  <si>
    <t>揚町47-1</t>
    <rPh sb="0" eb="2">
      <t>アゲマチ</t>
    </rPh>
    <phoneticPr fontId="7"/>
  </si>
  <si>
    <t>松江本町2-50</t>
    <rPh sb="0" eb="2">
      <t>マツエ</t>
    </rPh>
    <rPh sb="2" eb="4">
      <t>ホンマチ</t>
    </rPh>
    <phoneticPr fontId="7"/>
  </si>
  <si>
    <t>東陽町南762-1</t>
    <rPh sb="0" eb="2">
      <t>トウヨウ</t>
    </rPh>
    <rPh sb="2" eb="3">
      <t>マチ</t>
    </rPh>
    <rPh sb="3" eb="4">
      <t>ミナミ</t>
    </rPh>
    <phoneticPr fontId="7"/>
  </si>
  <si>
    <t>鏡町両出1327-6</t>
    <rPh sb="0" eb="2">
      <t>カガミマチ</t>
    </rPh>
    <rPh sb="2" eb="3">
      <t>リョウ</t>
    </rPh>
    <rPh sb="3" eb="4">
      <t>デ</t>
    </rPh>
    <phoneticPr fontId="7"/>
  </si>
  <si>
    <t>大福寺町313-1(1)</t>
    <rPh sb="0" eb="4">
      <t>ダイフクジマチ</t>
    </rPh>
    <phoneticPr fontId="7"/>
  </si>
  <si>
    <t>千丁町古閑出421-16</t>
    <rPh sb="0" eb="3">
      <t>センチョウマチ</t>
    </rPh>
    <rPh sb="3" eb="5">
      <t>コガ</t>
    </rPh>
    <rPh sb="5" eb="6">
      <t>デ</t>
    </rPh>
    <phoneticPr fontId="7"/>
  </si>
  <si>
    <t>井揚町2552</t>
    <rPh sb="0" eb="3">
      <t>イアゲマチ</t>
    </rPh>
    <phoneticPr fontId="7"/>
  </si>
  <si>
    <t>古閑下町2225</t>
    <rPh sb="0" eb="4">
      <t>コガシモマチ</t>
    </rPh>
    <phoneticPr fontId="7"/>
  </si>
  <si>
    <t>大福寺町313-1(2)</t>
    <rPh sb="0" eb="4">
      <t>ダイフクジマチ</t>
    </rPh>
    <phoneticPr fontId="7"/>
  </si>
  <si>
    <t>末広町3-6</t>
    <rPh sb="0" eb="3">
      <t>スエヒロマチ</t>
    </rPh>
    <phoneticPr fontId="7"/>
  </si>
  <si>
    <t>本町四丁目2-28</t>
    <rPh sb="0" eb="5">
      <t>ホンマチヨンチョウメ</t>
    </rPh>
    <phoneticPr fontId="7"/>
  </si>
  <si>
    <t>渡町1717</t>
    <rPh sb="0" eb="1">
      <t>ワタリ</t>
    </rPh>
    <rPh sb="1" eb="2">
      <t>マチ</t>
    </rPh>
    <phoneticPr fontId="7"/>
  </si>
  <si>
    <t>昭和日進町152-3</t>
    <rPh sb="0" eb="2">
      <t>ショウワ</t>
    </rPh>
    <rPh sb="2" eb="5">
      <t>ニッシンマチ</t>
    </rPh>
    <phoneticPr fontId="7"/>
  </si>
  <si>
    <t>二見本町924-2</t>
    <rPh sb="0" eb="2">
      <t>フタミ</t>
    </rPh>
    <rPh sb="2" eb="4">
      <t>ホンマチ</t>
    </rPh>
    <phoneticPr fontId="7"/>
  </si>
  <si>
    <t>沖町3873－1</t>
    <rPh sb="0" eb="2">
      <t>オキマチ</t>
    </rPh>
    <phoneticPr fontId="7"/>
  </si>
  <si>
    <t>千丁町新牟田2520-2</t>
  </si>
  <si>
    <t>新町3-21</t>
    <rPh sb="0" eb="2">
      <t>シンマチ</t>
    </rPh>
    <phoneticPr fontId="7"/>
  </si>
  <si>
    <t>東陽町南1067-1</t>
    <rPh sb="0" eb="2">
      <t>トウヨウ</t>
    </rPh>
    <rPh sb="2" eb="3">
      <t>マチ</t>
    </rPh>
    <rPh sb="3" eb="4">
      <t>ミナミ</t>
    </rPh>
    <phoneticPr fontId="7"/>
  </si>
  <si>
    <t>沖町3604</t>
    <rPh sb="0" eb="1">
      <t>オキ</t>
    </rPh>
    <rPh sb="1" eb="2">
      <t>マチ</t>
    </rPh>
    <phoneticPr fontId="7"/>
  </si>
  <si>
    <t>高下西町1760</t>
    <rPh sb="0" eb="2">
      <t>コウゲ</t>
    </rPh>
    <rPh sb="2" eb="3">
      <t>ニシ</t>
    </rPh>
    <rPh sb="3" eb="4">
      <t>マチ</t>
    </rPh>
    <phoneticPr fontId="7"/>
  </si>
  <si>
    <t>鏡町両出1327-1</t>
    <rPh sb="0" eb="1">
      <t>カガミ</t>
    </rPh>
    <rPh sb="1" eb="2">
      <t>マチ</t>
    </rPh>
    <rPh sb="2" eb="3">
      <t>リョウ</t>
    </rPh>
    <rPh sb="3" eb="4">
      <t>デ</t>
    </rPh>
    <phoneticPr fontId="7"/>
  </si>
  <si>
    <t>泉町下岳4350</t>
    <rPh sb="0" eb="2">
      <t>イズミチョウ</t>
    </rPh>
    <rPh sb="2" eb="3">
      <t>シタ</t>
    </rPh>
    <rPh sb="3" eb="4">
      <t>ダケ</t>
    </rPh>
    <phoneticPr fontId="7"/>
  </si>
  <si>
    <t>松江本町2-50</t>
    <rPh sb="0" eb="2">
      <t>マツエ</t>
    </rPh>
    <rPh sb="2" eb="3">
      <t>ホン</t>
    </rPh>
    <rPh sb="3" eb="4">
      <t>マチ</t>
    </rPh>
    <phoneticPr fontId="7"/>
  </si>
  <si>
    <t>鏡町下有佐189-1</t>
  </si>
  <si>
    <t>介護老人保健施設</t>
    <phoneticPr fontId="3"/>
  </si>
  <si>
    <t>介護医療院</t>
    <phoneticPr fontId="3"/>
  </si>
  <si>
    <t>特定施設入居者生活介護</t>
    <phoneticPr fontId="3"/>
  </si>
  <si>
    <t>地域密着型特定施設入居者生活介護</t>
    <phoneticPr fontId="3"/>
  </si>
  <si>
    <t>認知症対応型共同生活介護</t>
    <phoneticPr fontId="3"/>
  </si>
  <si>
    <t>小規模多機能型居宅介護</t>
    <phoneticPr fontId="3"/>
  </si>
  <si>
    <t>介護老人福祉施設</t>
    <phoneticPr fontId="3"/>
  </si>
  <si>
    <t>地域密着型介護老人福祉施設</t>
    <phoneticPr fontId="3"/>
  </si>
  <si>
    <t>複合サービス</t>
    <phoneticPr fontId="3"/>
  </si>
  <si>
    <t>43B0200019</t>
  </si>
  <si>
    <t>43B0200027</t>
  </si>
  <si>
    <t>表示したいサービスを選択してください。（表示を消したいときはこちら「　」）</t>
    <rPh sb="0" eb="2">
      <t>ヒョウジ</t>
    </rPh>
    <rPh sb="10" eb="12">
      <t>センタク</t>
    </rPh>
    <rPh sb="20" eb="22">
      <t>ヒョウジ</t>
    </rPh>
    <rPh sb="23" eb="24">
      <t>ケ</t>
    </rPh>
    <phoneticPr fontId="3"/>
  </si>
  <si>
    <t>ｸﾞﾙｰﾌﾟﾎｰﾑ瑞穂乃国</t>
    <rPh sb="9" eb="10">
      <t>ノ</t>
    </rPh>
    <rPh sb="10" eb="11">
      <t>クニ</t>
    </rPh>
    <phoneticPr fontId="1"/>
  </si>
  <si>
    <t>日奈久大坪町828番地1</t>
    <rPh sb="0" eb="3">
      <t>ヒナグ</t>
    </rPh>
    <rPh sb="3" eb="6">
      <t>オオツボマチ</t>
    </rPh>
    <rPh sb="9" eb="11">
      <t>バンチ</t>
    </rPh>
    <phoneticPr fontId="1"/>
  </si>
  <si>
    <t>３８―３２００</t>
  </si>
  <si>
    <t>（福）八代日奈久北部福祉会</t>
  </si>
  <si>
    <t>ユニット情報</t>
    <rPh sb="4" eb="6">
      <t>ジョウホウ</t>
    </rPh>
    <phoneticPr fontId="3"/>
  </si>
  <si>
    <t>従来情報</t>
    <rPh sb="0" eb="2">
      <t>ジュウライ</t>
    </rPh>
    <rPh sb="2" eb="4">
      <t>ジョウホウ</t>
    </rPh>
    <phoneticPr fontId="3"/>
  </si>
  <si>
    <t>基準日</t>
    <rPh sb="0" eb="3">
      <t>キジュンビ</t>
    </rPh>
    <phoneticPr fontId="3"/>
  </si>
  <si>
    <t>八代市が指定する30人未満の介護老人福祉施設
寝たきりや認知症などによる自立した生活が難しい要介護者が、日常的な生活の介護から機能訓練、療養上の世話などを受ける。</t>
    <phoneticPr fontId="3"/>
  </si>
  <si>
    <t>八代市が指定がする30人未満の特定施設入居者生活介護。
有料老人ホームなどの「特定施設」で、定員２９人以下に入居している要介護者が介護や機能訓練などを受ける。
利用者の病状の急変に備え、医療機関を定め、看護職員と介護職員をそれぞれ１人以上常勤させることが義務付けられている。</t>
    <phoneticPr fontId="3"/>
  </si>
  <si>
    <t>認知症の高齢者が共同で生活できる場（住居）で食事、入浴などの介護や支援、機能訓練が受けられる。
要支援２以上でかつ認知症の方が対象。</t>
    <phoneticPr fontId="3"/>
  </si>
  <si>
    <t>29(通15泊5)</t>
    <rPh sb="3" eb="4">
      <t>ツウ</t>
    </rPh>
    <rPh sb="6" eb="7">
      <t>トマリ</t>
    </rPh>
    <phoneticPr fontId="1"/>
  </si>
  <si>
    <t>25(通15泊7)</t>
    <rPh sb="3" eb="4">
      <t>ツウ</t>
    </rPh>
    <rPh sb="6" eb="7">
      <t>トマリ</t>
    </rPh>
    <phoneticPr fontId="1"/>
  </si>
  <si>
    <t>24(通12泊7)</t>
    <rPh sb="3" eb="4">
      <t>ツウ</t>
    </rPh>
    <rPh sb="6" eb="7">
      <t>トマリ</t>
    </rPh>
    <phoneticPr fontId="1"/>
  </si>
  <si>
    <t>29(通15泊6)</t>
    <rPh sb="3" eb="4">
      <t>ツウ</t>
    </rPh>
    <rPh sb="6" eb="7">
      <t>トマリ</t>
    </rPh>
    <phoneticPr fontId="1"/>
  </si>
  <si>
    <t>29(通18泊9)</t>
    <rPh sb="3" eb="4">
      <t>ツウ</t>
    </rPh>
    <rPh sb="6" eb="7">
      <t>ハク</t>
    </rPh>
    <phoneticPr fontId="1"/>
  </si>
  <si>
    <t>29(通18泊6)</t>
    <rPh sb="3" eb="4">
      <t>ツウ</t>
    </rPh>
    <rPh sb="6" eb="7">
      <t>ハク</t>
    </rPh>
    <phoneticPr fontId="1"/>
  </si>
  <si>
    <t>29(通15泊9)</t>
    <rPh sb="3" eb="4">
      <t>ツウ</t>
    </rPh>
    <rPh sb="6" eb="7">
      <t>ハク</t>
    </rPh>
    <phoneticPr fontId="1"/>
  </si>
  <si>
    <t>25(通15泊9)</t>
    <rPh sb="3" eb="4">
      <t>ツウ</t>
    </rPh>
    <rPh sb="6" eb="7">
      <t>トマリ</t>
    </rPh>
    <phoneticPr fontId="1"/>
  </si>
  <si>
    <t>29(通18泊7)</t>
    <rPh sb="3" eb="4">
      <t>ツウ</t>
    </rPh>
    <rPh sb="6" eb="7">
      <t>トマリ</t>
    </rPh>
    <phoneticPr fontId="1"/>
  </si>
  <si>
    <t>（株）フォーハート熊本</t>
    <rPh sb="0" eb="3">
      <t>カブ</t>
    </rPh>
    <rPh sb="9" eb="11">
      <t>クマモト</t>
    </rPh>
    <phoneticPr fontId="1"/>
  </si>
  <si>
    <t>ｸﾞﾙｰﾌﾟﾎｰﾑ八代のぞみ（休止中）</t>
    <rPh sb="9" eb="11">
      <t>ヤツシロ</t>
    </rPh>
    <rPh sb="15" eb="18">
      <t>キュウシチュウ</t>
    </rPh>
    <phoneticPr fontId="7"/>
  </si>
  <si>
    <t>すずらんの杜特定施設</t>
  </si>
  <si>
    <t>３９－７６１１</t>
  </si>
  <si>
    <t>すずらん流荘</t>
  </si>
  <si>
    <t>３５－０１１６</t>
  </si>
  <si>
    <t>葭牟田町428</t>
    <phoneticPr fontId="3"/>
  </si>
  <si>
    <t>豊原下町4115</t>
    <phoneticPr fontId="3"/>
  </si>
  <si>
    <t>種別</t>
    <rPh sb="0" eb="2">
      <t>シュベツ</t>
    </rPh>
    <phoneticPr fontId="7"/>
  </si>
  <si>
    <t>事業所番号</t>
    <rPh sb="0" eb="3">
      <t>ジギョウショ</t>
    </rPh>
    <rPh sb="3" eb="5">
      <t>バンゴウ</t>
    </rPh>
    <phoneticPr fontId="7"/>
  </si>
  <si>
    <t>事業所名</t>
    <rPh sb="0" eb="3">
      <t>ジギョウショ</t>
    </rPh>
    <rPh sb="3" eb="4">
      <t>メイ</t>
    </rPh>
    <phoneticPr fontId="7"/>
  </si>
  <si>
    <t>登録者数</t>
    <rPh sb="0" eb="2">
      <t>トウロク</t>
    </rPh>
    <rPh sb="2" eb="3">
      <t>シャ</t>
    </rPh>
    <rPh sb="3" eb="4">
      <t>スウ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</si>
  <si>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</si>
  <si>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</si>
  <si>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特養</t>
    <rPh sb="0" eb="2">
      <t>トクヨウ</t>
    </rPh>
    <phoneticPr fontId="7"/>
  </si>
  <si>
    <t>あさひ園</t>
    <rPh sb="3" eb="4">
      <t>エン</t>
    </rPh>
    <phoneticPr fontId="7"/>
  </si>
  <si>
    <t>行楽園</t>
    <rPh sb="0" eb="2">
      <t>コウラク</t>
    </rPh>
    <rPh sb="2" eb="3">
      <t>エン</t>
    </rPh>
    <phoneticPr fontId="7"/>
  </si>
  <si>
    <t>すずらんの里</t>
    <rPh sb="5" eb="6">
      <t>サト</t>
    </rPh>
    <phoneticPr fontId="7"/>
  </si>
  <si>
    <t>ま心苑</t>
    <rPh sb="1" eb="2">
      <t>ココロ</t>
    </rPh>
    <rPh sb="2" eb="3">
      <t>エン</t>
    </rPh>
    <phoneticPr fontId="7"/>
  </si>
  <si>
    <t>みやび園</t>
    <rPh sb="3" eb="4">
      <t>エン</t>
    </rPh>
    <phoneticPr fontId="7"/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</si>
  <si>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7"/>
  </si>
  <si>
    <t>康和苑</t>
    <rPh sb="0" eb="2">
      <t>コウワ</t>
    </rPh>
    <rPh sb="2" eb="3">
      <t>エン</t>
    </rPh>
    <phoneticPr fontId="7"/>
  </si>
  <si>
    <t>安寿の里</t>
    <rPh sb="0" eb="2">
      <t>アンジュ</t>
    </rPh>
    <rPh sb="3" eb="4">
      <t>サト</t>
    </rPh>
    <phoneticPr fontId="7"/>
  </si>
  <si>
    <t>ひかわの里</t>
    <rPh sb="4" eb="5">
      <t>サト</t>
    </rPh>
    <phoneticPr fontId="7"/>
  </si>
  <si>
    <t>みなみ園</t>
    <rPh sb="3" eb="4">
      <t>エン</t>
    </rPh>
    <phoneticPr fontId="7"/>
  </si>
  <si>
    <t>地密特養</t>
    <rPh sb="0" eb="1">
      <t>チ</t>
    </rPh>
    <rPh sb="1" eb="2">
      <t>ミツ</t>
    </rPh>
    <rPh sb="2" eb="4">
      <t>トクヨウ</t>
    </rPh>
    <phoneticPr fontId="7"/>
  </si>
  <si>
    <t>老健</t>
    <rPh sb="0" eb="2">
      <t>ロウケン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</si>
  <si>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</si>
  <si>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43B0200019</t>
    <phoneticPr fontId="7"/>
  </si>
  <si>
    <t>43B0200027</t>
    <phoneticPr fontId="7"/>
  </si>
  <si>
    <t>特定施設</t>
    <rPh sb="0" eb="2">
      <t>トクテイ</t>
    </rPh>
    <rPh sb="2" eb="4">
      <t>シセツ</t>
    </rPh>
    <phoneticPr fontId="7"/>
  </si>
  <si>
    <t>特定施設</t>
    <rPh sb="0" eb="4">
      <t>トクテイシセツ</t>
    </rPh>
    <phoneticPr fontId="7"/>
  </si>
  <si>
    <t>すずらんの杜特定施設</t>
    <rPh sb="5" eb="6">
      <t>モリ</t>
    </rPh>
    <rPh sb="6" eb="8">
      <t>トクテイ</t>
    </rPh>
    <rPh sb="8" eb="10">
      <t>シセツ</t>
    </rPh>
    <phoneticPr fontId="7"/>
  </si>
  <si>
    <t>すずらん流荘</t>
    <rPh sb="4" eb="6">
      <t>リュウソウ</t>
    </rPh>
    <phoneticPr fontId="7"/>
  </si>
  <si>
    <t>地密特定</t>
    <rPh sb="0" eb="1">
      <t>チ</t>
    </rPh>
    <rPh sb="1" eb="2">
      <t>ミツ</t>
    </rPh>
    <rPh sb="2" eb="4">
      <t>トクテイ</t>
    </rPh>
    <phoneticPr fontId="7"/>
  </si>
  <si>
    <t>GH</t>
    <phoneticPr fontId="7"/>
  </si>
  <si>
    <t>ｸﾞﾙｰﾌﾟﾎｰﾑ八代のぞみ</t>
    <rPh sb="9" eb="11">
      <t>ヤツシロ</t>
    </rPh>
    <phoneticPr fontId="7"/>
  </si>
  <si>
    <t>―</t>
    <phoneticPr fontId="7"/>
  </si>
  <si>
    <t>瑞穂乃國</t>
    <rPh sb="0" eb="2">
      <t>ミズホ</t>
    </rPh>
    <rPh sb="2" eb="3">
      <t>ノ</t>
    </rPh>
    <rPh sb="3" eb="4">
      <t>クニ</t>
    </rPh>
    <phoneticPr fontId="7"/>
  </si>
  <si>
    <t>小多機</t>
    <rPh sb="0" eb="1">
      <t>ショウ</t>
    </rPh>
    <rPh sb="1" eb="2">
      <t>タ</t>
    </rPh>
    <rPh sb="2" eb="3">
      <t>キ</t>
    </rPh>
    <phoneticPr fontId="7"/>
  </si>
  <si>
    <t>看多機</t>
    <rPh sb="0" eb="1">
      <t>カン</t>
    </rPh>
    <rPh sb="1" eb="2">
      <t>タ</t>
    </rPh>
    <rPh sb="2" eb="3">
      <t>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</si>
</sst>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10" fillId="0" borderId="1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6" fillId="4" borderId="0" xfId="0" applyFont="1" applyFill="1" applyAlignment="1">
      <alignment horizontal="centerContinuous" vertical="center"/>
    </xf>
    <xf numFmtId="0" fontId="0" fillId="5" borderId="2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5" fillId="0" borderId="0" xfId="0" applyFont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0" fillId="5" borderId="2" xfId="0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firstButton="1" fmlaLink="$J$3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</xdr:row>
          <xdr:rowOff>99060</xdr:rowOff>
        </xdr:from>
        <xdr:to>
          <xdr:col>1</xdr:col>
          <xdr:colOff>38100</xdr:colOff>
          <xdr:row>2</xdr:row>
          <xdr:rowOff>274320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2</xdr:row>
          <xdr:rowOff>99060</xdr:rowOff>
        </xdr:from>
        <xdr:to>
          <xdr:col>1</xdr:col>
          <xdr:colOff>3002280</xdr:colOff>
          <xdr:row>2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2</xdr:row>
          <xdr:rowOff>83820</xdr:rowOff>
        </xdr:from>
        <xdr:to>
          <xdr:col>4</xdr:col>
          <xdr:colOff>182880</xdr:colOff>
          <xdr:row>2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3</xdr:row>
          <xdr:rowOff>83820</xdr:rowOff>
        </xdr:from>
        <xdr:to>
          <xdr:col>1</xdr:col>
          <xdr:colOff>38100</xdr:colOff>
          <xdr:row>3</xdr:row>
          <xdr:rowOff>266700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3</xdr:row>
          <xdr:rowOff>83820</xdr:rowOff>
        </xdr:from>
        <xdr:to>
          <xdr:col>1</xdr:col>
          <xdr:colOff>3040380</xdr:colOff>
          <xdr:row>3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3</xdr:row>
          <xdr:rowOff>83820</xdr:rowOff>
        </xdr:from>
        <xdr:to>
          <xdr:col>4</xdr:col>
          <xdr:colOff>182880</xdr:colOff>
          <xdr:row>3</xdr:row>
          <xdr:rowOff>266700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</xdr:row>
          <xdr:rowOff>106680</xdr:rowOff>
        </xdr:from>
        <xdr:to>
          <xdr:col>4</xdr:col>
          <xdr:colOff>182880</xdr:colOff>
          <xdr:row>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1</xdr:row>
          <xdr:rowOff>83820</xdr:rowOff>
        </xdr:from>
        <xdr:to>
          <xdr:col>1</xdr:col>
          <xdr:colOff>3040380</xdr:colOff>
          <xdr:row>1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1</xdr:row>
          <xdr:rowOff>83820</xdr:rowOff>
        </xdr:from>
        <xdr:to>
          <xdr:col>1</xdr:col>
          <xdr:colOff>38100</xdr:colOff>
          <xdr:row>1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0</xdr:row>
          <xdr:rowOff>0</xdr:rowOff>
        </xdr:from>
        <xdr:to>
          <xdr:col>5</xdr:col>
          <xdr:colOff>845820</xdr:colOff>
          <xdr:row>1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3\public\&#20581;&#24247;&#31119;&#31049;&#37096;\&#20171;&#35703;&#20445;&#38522;&#35506;\4%20&#20171;&#35703;&#32102;&#20184;&#20418;\&#26045;&#35373;&#19968;&#35239;\&#39640;&#40802;&#32773;&#38306;&#36899;&#26045;&#35373;.xls" TargetMode="External"/><Relationship Id="rId1" Type="http://schemas.openxmlformats.org/officeDocument/2006/relationships/externalLinkPath" Target="&#39640;&#40802;&#32773;&#38306;&#36899;&#26045;&#35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入所者等情報貼付けシート"/>
      <sheetName val="②直近の入所者数等抽出"/>
      <sheetName val="　　　　施設（説明入）最新　　　　"/>
      <sheetName val="サービス付き住宅"/>
      <sheetName val="　　　有料老人ホーム(古い）　　"/>
      <sheetName val="　　　　　　kyoo　　(古い）　　　　"/>
      <sheetName val="Sheet1"/>
      <sheetName val="理事長・施設長"/>
      <sheetName val="Sheet4"/>
      <sheetName val="Sheet3"/>
      <sheetName val="密着型代表者(古い）"/>
      <sheetName val="軽費老人ホーム(古い）"/>
      <sheetName val="地域密着型(古い）"/>
      <sheetName val="熊本県内の要支援可(古い）"/>
      <sheetName val="差込用(古い）"/>
      <sheetName val="法人名(古い）」"/>
      <sheetName val="基(古い）"/>
      <sheetName val="kyoo元(古い）"/>
      <sheetName val="Sheet2"/>
    </sheetNames>
    <sheetDataSet>
      <sheetData sheetId="0">
        <row r="1">
          <cell r="O1" t="str">
            <v>現在のデータ数</v>
          </cell>
          <cell r="P1">
            <v>497</v>
          </cell>
        </row>
        <row r="2">
          <cell r="O2" t="str">
            <v>直近データ</v>
          </cell>
          <cell r="P2" t="str">
            <v>直近登録者</v>
          </cell>
          <cell r="Q2" t="str">
            <v>直近入所者</v>
          </cell>
          <cell r="R2" t="str">
            <v>直近待機者</v>
          </cell>
        </row>
        <row r="3">
          <cell r="O3" t="str">
            <v/>
          </cell>
          <cell r="P3" t="str">
            <v/>
          </cell>
          <cell r="Q3" t="str">
            <v/>
          </cell>
          <cell r="R3" t="str">
            <v/>
          </cell>
        </row>
        <row r="4"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O5" t="str">
            <v/>
          </cell>
          <cell r="P5" t="str">
            <v/>
          </cell>
          <cell r="Q5" t="str">
            <v/>
          </cell>
          <cell r="R5" t="str">
            <v/>
          </cell>
        </row>
        <row r="6"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O8" t="str">
            <v/>
          </cell>
          <cell r="P8" t="str">
            <v/>
          </cell>
          <cell r="Q8" t="str">
            <v/>
          </cell>
          <cell r="R8" t="str">
            <v/>
          </cell>
        </row>
        <row r="9"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  <row r="17"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</row>
        <row r="18"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</row>
        <row r="19"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5"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</row>
        <row r="26"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</row>
        <row r="27"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</row>
        <row r="29"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5"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</row>
        <row r="38"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</row>
        <row r="39"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O40">
            <v>4350280071</v>
          </cell>
          <cell r="P40">
            <v>0</v>
          </cell>
          <cell r="Q40">
            <v>47</v>
          </cell>
          <cell r="R40">
            <v>8</v>
          </cell>
        </row>
        <row r="41"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5"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</row>
        <row r="46"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</row>
        <row r="47"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</row>
        <row r="48"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</row>
        <row r="49"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</row>
        <row r="50"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</row>
        <row r="51"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</row>
        <row r="52"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</row>
        <row r="53"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</row>
        <row r="54"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0"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</row>
        <row r="61"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</row>
        <row r="62"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0"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4"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O76">
            <v>4390200410</v>
          </cell>
          <cell r="P76">
            <v>0</v>
          </cell>
          <cell r="Q76">
            <v>9</v>
          </cell>
          <cell r="R76">
            <v>3</v>
          </cell>
        </row>
        <row r="77"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2"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</row>
        <row r="83"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</row>
        <row r="84"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  <row r="90"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</row>
        <row r="91"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</row>
        <row r="93"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</row>
        <row r="94"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</row>
        <row r="95"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</row>
        <row r="96"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</row>
        <row r="97"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</row>
        <row r="98"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</row>
        <row r="99"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</row>
        <row r="100"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</row>
        <row r="101"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</row>
        <row r="102"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</row>
        <row r="103"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</row>
        <row r="104"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</row>
        <row r="105"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</row>
        <row r="106"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</row>
        <row r="107"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</row>
        <row r="108"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</row>
        <row r="109"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</row>
        <row r="111"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</row>
        <row r="112"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</row>
        <row r="113"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</row>
        <row r="114"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</row>
        <row r="115"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</row>
        <row r="116"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</row>
        <row r="117"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</row>
        <row r="118"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</row>
        <row r="119"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</row>
        <row r="120"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</row>
        <row r="121"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</row>
        <row r="122"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</row>
        <row r="123"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</row>
        <row r="124"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</row>
        <row r="125"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</row>
        <row r="126"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</row>
        <row r="127"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</row>
        <row r="128"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</row>
        <row r="129"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</row>
        <row r="130"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</row>
        <row r="131"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</row>
        <row r="132"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</row>
        <row r="133"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</row>
        <row r="134"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</row>
        <row r="135"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</row>
        <row r="136"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</row>
        <row r="137"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</row>
        <row r="138"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</row>
        <row r="139"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</row>
        <row r="140"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</row>
        <row r="141"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</row>
        <row r="142"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</row>
        <row r="143"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</row>
        <row r="144"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</row>
        <row r="145"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</row>
        <row r="146"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</row>
        <row r="147"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</row>
        <row r="148"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</row>
        <row r="149"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</row>
        <row r="150"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</row>
        <row r="151"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</row>
        <row r="152"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</row>
        <row r="153"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</row>
        <row r="154"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</row>
        <row r="155"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</row>
        <row r="156"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</row>
        <row r="157">
          <cell r="O157">
            <v>4350280022</v>
          </cell>
          <cell r="P157">
            <v>0</v>
          </cell>
          <cell r="Q157">
            <v>80</v>
          </cell>
          <cell r="R157">
            <v>4</v>
          </cell>
        </row>
        <row r="158"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</row>
        <row r="159"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</row>
        <row r="160"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</row>
        <row r="161"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</row>
        <row r="162"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</row>
        <row r="163"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</row>
        <row r="164"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</row>
        <row r="165"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</row>
        <row r="166"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</row>
        <row r="167"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</row>
        <row r="168"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</row>
        <row r="169"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</row>
        <row r="170"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</row>
        <row r="171"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</row>
        <row r="172"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</row>
        <row r="173"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</row>
        <row r="174"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</row>
        <row r="175"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</row>
        <row r="176"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</row>
        <row r="177"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</row>
        <row r="178"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</row>
        <row r="179"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</row>
        <row r="180"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</row>
        <row r="181"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</row>
        <row r="182"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</row>
        <row r="183"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</row>
        <row r="184"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</row>
        <row r="185"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</row>
        <row r="186"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</row>
        <row r="187"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</row>
        <row r="188"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</row>
        <row r="189"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</row>
        <row r="190"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</row>
        <row r="191"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</row>
        <row r="192"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</row>
        <row r="193"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</row>
        <row r="194"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</row>
        <row r="195"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</row>
        <row r="198"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</row>
        <row r="199"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</row>
        <row r="200"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</row>
        <row r="201"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</row>
        <row r="202"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</row>
        <row r="203"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</row>
        <row r="204"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</row>
        <row r="205"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</row>
        <row r="206"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</row>
        <row r="207"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</row>
        <row r="208"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</row>
        <row r="209"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</row>
        <row r="210"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</row>
        <row r="211"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</row>
        <row r="212"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</row>
        <row r="213"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</row>
        <row r="214"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</row>
        <row r="215"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</row>
        <row r="216">
          <cell r="O216">
            <v>4390200147</v>
          </cell>
          <cell r="P216">
            <v>0</v>
          </cell>
          <cell r="Q216">
            <v>9</v>
          </cell>
          <cell r="R216">
            <v>12</v>
          </cell>
        </row>
        <row r="217"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</row>
        <row r="218"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</row>
        <row r="219">
          <cell r="O219">
            <v>4390200204</v>
          </cell>
          <cell r="P219">
            <v>0</v>
          </cell>
          <cell r="Q219">
            <v>9</v>
          </cell>
          <cell r="R219">
            <v>10</v>
          </cell>
        </row>
        <row r="220"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</row>
        <row r="221">
          <cell r="O221">
            <v>4390200527</v>
          </cell>
          <cell r="P221">
            <v>18</v>
          </cell>
          <cell r="Q221">
            <v>0</v>
          </cell>
          <cell r="R221">
            <v>0</v>
          </cell>
        </row>
        <row r="222"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</row>
        <row r="223"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</row>
        <row r="224"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</row>
        <row r="225"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</row>
        <row r="226"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</row>
        <row r="227"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</row>
        <row r="228"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</row>
        <row r="229"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</row>
        <row r="230"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</row>
        <row r="231"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</row>
        <row r="237"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</row>
        <row r="238"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</row>
        <row r="240"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</row>
        <row r="241"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</row>
        <row r="242"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</row>
        <row r="243"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</row>
        <row r="244"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</row>
        <row r="245"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</row>
        <row r="246"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</row>
        <row r="247"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</row>
        <row r="248"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</row>
        <row r="249"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</row>
        <row r="250"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</row>
        <row r="251"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</row>
        <row r="254"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</row>
        <row r="255"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</row>
        <row r="256"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</row>
        <row r="257"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</row>
        <row r="259"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</row>
        <row r="261"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</row>
        <row r="262"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</row>
        <row r="263"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</row>
        <row r="264"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</row>
        <row r="265"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</row>
        <row r="266"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</row>
        <row r="267"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</row>
        <row r="268"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</row>
        <row r="269"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</row>
        <row r="270"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</row>
        <row r="271"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</row>
        <row r="274"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</row>
        <row r="275"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</row>
        <row r="276"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</row>
        <row r="277"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</row>
        <row r="279"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</row>
        <row r="280">
          <cell r="O280">
            <v>4390200014</v>
          </cell>
          <cell r="P280" t="str">
            <v/>
          </cell>
          <cell r="Q280">
            <v>0</v>
          </cell>
          <cell r="R280">
            <v>0</v>
          </cell>
        </row>
        <row r="281"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</row>
        <row r="295"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</row>
        <row r="296"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</row>
        <row r="297"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</row>
        <row r="298">
          <cell r="O298">
            <v>4372900698</v>
          </cell>
          <cell r="P298">
            <v>0</v>
          </cell>
          <cell r="Q298">
            <v>18</v>
          </cell>
          <cell r="R298">
            <v>12</v>
          </cell>
        </row>
        <row r="299"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</row>
        <row r="300"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</row>
        <row r="301">
          <cell r="O301">
            <v>4390200352</v>
          </cell>
          <cell r="P301">
            <v>0</v>
          </cell>
          <cell r="Q301">
            <v>7</v>
          </cell>
          <cell r="R301">
            <v>2</v>
          </cell>
        </row>
        <row r="302"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</row>
        <row r="303"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</row>
        <row r="304"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</row>
        <row r="305"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</row>
        <row r="306"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</row>
        <row r="307"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</row>
        <row r="308"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</row>
        <row r="309"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</row>
        <row r="310"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</row>
        <row r="311"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</row>
        <row r="312"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</row>
        <row r="313"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</row>
        <row r="314"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</row>
        <row r="315"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</row>
        <row r="316"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</row>
        <row r="317"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</row>
        <row r="318"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</row>
        <row r="319"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</row>
        <row r="320"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</row>
        <row r="321"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</row>
        <row r="322">
          <cell r="O322">
            <v>4390200246</v>
          </cell>
          <cell r="P322">
            <v>0</v>
          </cell>
          <cell r="Q322">
            <v>9</v>
          </cell>
          <cell r="R322">
            <v>6</v>
          </cell>
        </row>
        <row r="323"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</row>
        <row r="324"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</row>
        <row r="325"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</row>
        <row r="326"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</row>
        <row r="327"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</row>
        <row r="328"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</row>
        <row r="329"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</row>
        <row r="330"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</row>
        <row r="331"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</row>
        <row r="332"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</row>
        <row r="333"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</row>
        <row r="334"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</row>
        <row r="335"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</row>
        <row r="336"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</row>
        <row r="337"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</row>
        <row r="338"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</row>
        <row r="339"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</row>
        <row r="340"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</row>
        <row r="341"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</row>
        <row r="342"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</row>
        <row r="343"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</row>
        <row r="344"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</row>
        <row r="345"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</row>
        <row r="346"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</row>
        <row r="347"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</row>
        <row r="348">
          <cell r="O348">
            <v>4360290003</v>
          </cell>
          <cell r="P348">
            <v>0</v>
          </cell>
          <cell r="Q348">
            <v>9</v>
          </cell>
          <cell r="R348">
            <v>11</v>
          </cell>
        </row>
        <row r="349"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</row>
        <row r="350"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</row>
        <row r="351"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</row>
        <row r="352"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</row>
        <row r="353"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</row>
        <row r="354"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</row>
        <row r="355"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</row>
        <row r="356"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</row>
        <row r="357">
          <cell r="O357">
            <v>4390200022</v>
          </cell>
          <cell r="P357">
            <v>29</v>
          </cell>
          <cell r="Q357">
            <v>0</v>
          </cell>
          <cell r="R357">
            <v>0</v>
          </cell>
        </row>
        <row r="358"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</row>
        <row r="359"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</row>
        <row r="360"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</row>
        <row r="361"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</row>
        <row r="362"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</row>
        <row r="363"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</row>
        <row r="364"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</row>
        <row r="365"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</row>
        <row r="366"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</row>
        <row r="367"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</row>
        <row r="368"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</row>
        <row r="369"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</row>
        <row r="370"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</row>
        <row r="371"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</row>
        <row r="372"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</row>
        <row r="373"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</row>
        <row r="374"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</row>
        <row r="375"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</row>
        <row r="376">
          <cell r="O376">
            <v>4390200295</v>
          </cell>
          <cell r="P376">
            <v>22</v>
          </cell>
          <cell r="Q376">
            <v>0</v>
          </cell>
          <cell r="R376">
            <v>0</v>
          </cell>
        </row>
        <row r="377"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</row>
        <row r="378">
          <cell r="O378">
            <v>4390200493</v>
          </cell>
          <cell r="P378">
            <v>28</v>
          </cell>
          <cell r="Q378">
            <v>0</v>
          </cell>
          <cell r="R378">
            <v>0</v>
          </cell>
        </row>
        <row r="379">
          <cell r="O379">
            <v>4390200105</v>
          </cell>
          <cell r="P379">
            <v>28</v>
          </cell>
          <cell r="Q379">
            <v>0</v>
          </cell>
          <cell r="R379">
            <v>0</v>
          </cell>
        </row>
        <row r="380">
          <cell r="O380">
            <v>4370201123</v>
          </cell>
          <cell r="P380">
            <v>0</v>
          </cell>
          <cell r="Q380">
            <v>18</v>
          </cell>
          <cell r="R380">
            <v>0</v>
          </cell>
        </row>
        <row r="381">
          <cell r="O381">
            <v>4370203004</v>
          </cell>
          <cell r="P381">
            <v>0</v>
          </cell>
          <cell r="Q381">
            <v>27</v>
          </cell>
          <cell r="R381">
            <v>0</v>
          </cell>
        </row>
        <row r="382"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</row>
        <row r="383"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</row>
        <row r="384"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</row>
        <row r="385"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</row>
        <row r="386">
          <cell r="O386">
            <v>4390200063</v>
          </cell>
          <cell r="P386">
            <v>0</v>
          </cell>
          <cell r="Q386">
            <v>9</v>
          </cell>
          <cell r="R386">
            <v>1</v>
          </cell>
        </row>
        <row r="387"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</row>
        <row r="388"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</row>
        <row r="389"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</row>
        <row r="390"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</row>
        <row r="391"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</row>
        <row r="392"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</row>
        <row r="393">
          <cell r="O393" t="str">
            <v>43B0200027</v>
          </cell>
          <cell r="P393">
            <v>0</v>
          </cell>
          <cell r="Q393">
            <v>31</v>
          </cell>
          <cell r="R393">
            <v>3</v>
          </cell>
        </row>
        <row r="394"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</row>
        <row r="395"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</row>
        <row r="396"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</row>
        <row r="397"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</row>
        <row r="398"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</row>
        <row r="399"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</row>
        <row r="400"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</row>
        <row r="401"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</row>
        <row r="402"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</row>
        <row r="403">
          <cell r="O403">
            <v>4370201008</v>
          </cell>
          <cell r="P403">
            <v>0</v>
          </cell>
          <cell r="Q403">
            <v>18</v>
          </cell>
          <cell r="R403">
            <v>10</v>
          </cell>
        </row>
        <row r="404"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</row>
        <row r="405"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</row>
        <row r="406"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</row>
        <row r="407">
          <cell r="O407">
            <v>4370201446</v>
          </cell>
          <cell r="P407">
            <v>0</v>
          </cell>
          <cell r="Q407">
            <v>13</v>
          </cell>
          <cell r="R407">
            <v>3</v>
          </cell>
        </row>
        <row r="408"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</row>
        <row r="409">
          <cell r="O409">
            <v>4390200592</v>
          </cell>
          <cell r="P409">
            <v>0</v>
          </cell>
          <cell r="Q409">
            <v>8</v>
          </cell>
          <cell r="R409">
            <v>0</v>
          </cell>
        </row>
        <row r="410"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</row>
        <row r="411"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</row>
        <row r="412"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</row>
        <row r="413"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</row>
        <row r="414"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</row>
        <row r="415">
          <cell r="O415">
            <v>4370200356</v>
          </cell>
          <cell r="P415">
            <v>0</v>
          </cell>
          <cell r="Q415">
            <v>60</v>
          </cell>
          <cell r="R415">
            <v>55</v>
          </cell>
        </row>
        <row r="416"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</row>
        <row r="417">
          <cell r="O417">
            <v>4370203442</v>
          </cell>
          <cell r="P417">
            <v>40</v>
          </cell>
          <cell r="Q417">
            <v>38</v>
          </cell>
          <cell r="R417">
            <v>2</v>
          </cell>
        </row>
        <row r="418"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</row>
        <row r="419"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</row>
        <row r="420"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</row>
        <row r="421"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</row>
        <row r="422"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</row>
        <row r="423"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</row>
        <row r="424"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</row>
        <row r="425"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</row>
        <row r="426"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</row>
        <row r="427">
          <cell r="O427">
            <v>4390200238</v>
          </cell>
          <cell r="P427" t="str">
            <v/>
          </cell>
          <cell r="Q427">
            <v>9</v>
          </cell>
          <cell r="R427">
            <v>10</v>
          </cell>
        </row>
        <row r="428"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</row>
        <row r="429"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</row>
        <row r="430"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</row>
        <row r="431"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</row>
        <row r="432"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</row>
        <row r="433"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</row>
        <row r="434"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</row>
        <row r="435">
          <cell r="O435">
            <v>4372900367</v>
          </cell>
          <cell r="P435" t="str">
            <v/>
          </cell>
          <cell r="Q435">
            <v>30</v>
          </cell>
          <cell r="R435">
            <v>53</v>
          </cell>
        </row>
        <row r="436"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</row>
        <row r="437"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</row>
        <row r="438"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</row>
        <row r="439"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</row>
        <row r="440"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</row>
        <row r="441"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</row>
        <row r="442"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</row>
        <row r="443"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</row>
        <row r="444"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</row>
        <row r="445"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</row>
        <row r="446">
          <cell r="O446">
            <v>4350280048</v>
          </cell>
          <cell r="P446" t="str">
            <v/>
          </cell>
          <cell r="Q446">
            <v>70</v>
          </cell>
          <cell r="R446">
            <v>3</v>
          </cell>
        </row>
        <row r="447"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</row>
        <row r="448"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</row>
        <row r="449"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</row>
        <row r="450"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</row>
        <row r="451"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</row>
        <row r="452"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</row>
        <row r="453"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</row>
        <row r="454"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</row>
        <row r="455"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</row>
        <row r="456"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</row>
        <row r="457"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</row>
        <row r="458">
          <cell r="O458">
            <v>4390200097</v>
          </cell>
          <cell r="P458" t="str">
            <v/>
          </cell>
          <cell r="Q458">
            <v>9</v>
          </cell>
          <cell r="R458">
            <v>2</v>
          </cell>
        </row>
        <row r="459"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</row>
        <row r="460"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</row>
        <row r="461"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</row>
        <row r="462"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</row>
        <row r="463"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</row>
        <row r="464"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</row>
        <row r="465"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</row>
        <row r="466">
          <cell r="O466">
            <v>4372900748</v>
          </cell>
          <cell r="P466" t="str">
            <v/>
          </cell>
          <cell r="Q466">
            <v>18</v>
          </cell>
          <cell r="R466">
            <v>3</v>
          </cell>
        </row>
        <row r="467">
          <cell r="O467">
            <v>4390200071</v>
          </cell>
          <cell r="P467">
            <v>27</v>
          </cell>
          <cell r="Q467" t="str">
            <v/>
          </cell>
          <cell r="R467" t="str">
            <v/>
          </cell>
        </row>
        <row r="468"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</row>
        <row r="469"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</row>
        <row r="470">
          <cell r="O470">
            <v>4372900664</v>
          </cell>
          <cell r="P470" t="str">
            <v/>
          </cell>
          <cell r="Q470">
            <v>80</v>
          </cell>
          <cell r="R470">
            <v>97</v>
          </cell>
        </row>
        <row r="471">
          <cell r="O471">
            <v>4390200378</v>
          </cell>
          <cell r="P471" t="str">
            <v/>
          </cell>
          <cell r="Q471">
            <v>29</v>
          </cell>
          <cell r="R471">
            <v>97</v>
          </cell>
        </row>
        <row r="472">
          <cell r="O472">
            <v>4390200451</v>
          </cell>
          <cell r="P472" t="str">
            <v/>
          </cell>
          <cell r="Q472">
            <v>24</v>
          </cell>
          <cell r="R472">
            <v>49</v>
          </cell>
        </row>
        <row r="473">
          <cell r="O473">
            <v>4390200279</v>
          </cell>
          <cell r="P473" t="str">
            <v/>
          </cell>
          <cell r="Q473">
            <v>29</v>
          </cell>
          <cell r="R473">
            <v>50</v>
          </cell>
        </row>
        <row r="474">
          <cell r="O474">
            <v>4370202071</v>
          </cell>
          <cell r="P474" t="str">
            <v/>
          </cell>
          <cell r="Q474">
            <v>60</v>
          </cell>
          <cell r="R474">
            <v>39</v>
          </cell>
        </row>
        <row r="475">
          <cell r="O475">
            <v>4370200398</v>
          </cell>
          <cell r="P475" t="str">
            <v/>
          </cell>
          <cell r="Q475">
            <v>50</v>
          </cell>
          <cell r="R475">
            <v>106</v>
          </cell>
        </row>
        <row r="476">
          <cell r="O476">
            <v>4390200121</v>
          </cell>
          <cell r="P476">
            <v>29</v>
          </cell>
          <cell r="Q476" t="str">
            <v/>
          </cell>
          <cell r="R476" t="str">
            <v/>
          </cell>
        </row>
        <row r="477">
          <cell r="O477">
            <v>4390200048</v>
          </cell>
          <cell r="P477">
            <v>25</v>
          </cell>
          <cell r="Q477" t="str">
            <v/>
          </cell>
          <cell r="R477" t="str">
            <v/>
          </cell>
        </row>
        <row r="478">
          <cell r="O478">
            <v>4390200220</v>
          </cell>
          <cell r="P478" t="str">
            <v/>
          </cell>
          <cell r="Q478">
            <v>9</v>
          </cell>
          <cell r="R478">
            <v>3</v>
          </cell>
        </row>
        <row r="479">
          <cell r="O479">
            <v>4370200406</v>
          </cell>
          <cell r="P479" t="str">
            <v/>
          </cell>
          <cell r="Q479">
            <v>50</v>
          </cell>
          <cell r="R479">
            <v>58</v>
          </cell>
        </row>
        <row r="480">
          <cell r="O480">
            <v>4352980025</v>
          </cell>
          <cell r="P480" t="str">
            <v/>
          </cell>
          <cell r="Q480">
            <v>70</v>
          </cell>
          <cell r="R480">
            <v>6</v>
          </cell>
        </row>
        <row r="481">
          <cell r="O481">
            <v>4372900755</v>
          </cell>
          <cell r="P481" t="str">
            <v/>
          </cell>
          <cell r="Q481">
            <v>9</v>
          </cell>
          <cell r="R481">
            <v>12</v>
          </cell>
        </row>
        <row r="482">
          <cell r="O482">
            <v>4372900797</v>
          </cell>
          <cell r="P482" t="str">
            <v/>
          </cell>
          <cell r="Q482">
            <v>49</v>
          </cell>
          <cell r="R482">
            <v>15</v>
          </cell>
        </row>
        <row r="483">
          <cell r="O483">
            <v>4390200162</v>
          </cell>
          <cell r="P483" t="str">
            <v/>
          </cell>
          <cell r="Q483">
            <v>28</v>
          </cell>
          <cell r="R483">
            <v>17</v>
          </cell>
        </row>
        <row r="484">
          <cell r="O484">
            <v>4390200501</v>
          </cell>
          <cell r="P484">
            <v>22</v>
          </cell>
          <cell r="Q484" t="str">
            <v/>
          </cell>
          <cell r="R484" t="str">
            <v/>
          </cell>
        </row>
        <row r="485">
          <cell r="O485">
            <v>4390200188</v>
          </cell>
          <cell r="P485" t="str">
            <v/>
          </cell>
          <cell r="Q485">
            <v>28</v>
          </cell>
          <cell r="R485">
            <v>0</v>
          </cell>
        </row>
        <row r="486"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</row>
        <row r="487">
          <cell r="O487">
            <v>4390200253</v>
          </cell>
          <cell r="P487" t="str">
            <v/>
          </cell>
          <cell r="Q487">
            <v>9</v>
          </cell>
          <cell r="R487">
            <v>6</v>
          </cell>
        </row>
        <row r="488">
          <cell r="O488">
            <v>4370200380</v>
          </cell>
          <cell r="P488" t="str">
            <v/>
          </cell>
          <cell r="Q488">
            <v>49</v>
          </cell>
          <cell r="R488">
            <v>93</v>
          </cell>
        </row>
        <row r="489">
          <cell r="O489">
            <v>4370202899</v>
          </cell>
          <cell r="P489" t="str">
            <v/>
          </cell>
          <cell r="Q489">
            <v>50</v>
          </cell>
          <cell r="R489">
            <v>17</v>
          </cell>
        </row>
        <row r="490">
          <cell r="O490">
            <v>4370200984</v>
          </cell>
          <cell r="P490" t="str">
            <v/>
          </cell>
          <cell r="Q490">
            <v>9</v>
          </cell>
          <cell r="R490">
            <v>7</v>
          </cell>
        </row>
        <row r="491">
          <cell r="O491">
            <v>4390200113</v>
          </cell>
          <cell r="P491">
            <v>29</v>
          </cell>
          <cell r="Q491" t="str">
            <v/>
          </cell>
          <cell r="R491" t="str">
            <v/>
          </cell>
        </row>
        <row r="492">
          <cell r="O492">
            <v>4370200414</v>
          </cell>
          <cell r="P492" t="str">
            <v/>
          </cell>
          <cell r="Q492">
            <v>48</v>
          </cell>
          <cell r="R492">
            <v>67</v>
          </cell>
        </row>
        <row r="493">
          <cell r="O493">
            <v>4390200261</v>
          </cell>
          <cell r="P493" t="str">
            <v/>
          </cell>
          <cell r="Q493">
            <v>29</v>
          </cell>
          <cell r="R493">
            <v>33</v>
          </cell>
        </row>
        <row r="494">
          <cell r="O494" t="str">
            <v>43B0200019</v>
          </cell>
          <cell r="P494" t="str">
            <v/>
          </cell>
          <cell r="Q494">
            <v>35</v>
          </cell>
          <cell r="R494">
            <v>1</v>
          </cell>
        </row>
        <row r="495">
          <cell r="O495">
            <v>4350280030</v>
          </cell>
          <cell r="P495" t="str">
            <v/>
          </cell>
          <cell r="Q495">
            <v>68</v>
          </cell>
          <cell r="R495">
            <v>5</v>
          </cell>
        </row>
        <row r="496">
          <cell r="O496">
            <v>4390200519</v>
          </cell>
          <cell r="P496" t="str">
            <v/>
          </cell>
          <cell r="Q496">
            <v>9</v>
          </cell>
          <cell r="R496">
            <v>4</v>
          </cell>
        </row>
        <row r="497">
          <cell r="O497">
            <v>4350280055</v>
          </cell>
          <cell r="P497" t="str">
            <v/>
          </cell>
          <cell r="Q497">
            <v>76</v>
          </cell>
          <cell r="R497">
            <v>42</v>
          </cell>
        </row>
        <row r="498">
          <cell r="O498">
            <v>4350280014</v>
          </cell>
          <cell r="P498" t="str">
            <v/>
          </cell>
          <cell r="Q498">
            <v>79</v>
          </cell>
          <cell r="R498">
            <v>2</v>
          </cell>
        </row>
        <row r="499">
          <cell r="O499">
            <v>4372900334</v>
          </cell>
          <cell r="P499" t="str">
            <v/>
          </cell>
          <cell r="Q499">
            <v>50</v>
          </cell>
          <cell r="R499">
            <v>78</v>
          </cell>
        </row>
        <row r="500"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</row>
        <row r="501"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</row>
        <row r="502"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</row>
        <row r="503"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</row>
        <row r="504"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</row>
        <row r="505"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</row>
        <row r="506"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</row>
        <row r="507"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</row>
        <row r="508"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</row>
        <row r="509"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</row>
        <row r="510"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</row>
        <row r="511"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</row>
        <row r="512"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</row>
        <row r="513"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</row>
        <row r="514"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</row>
        <row r="515"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</row>
        <row r="516"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</row>
        <row r="517"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</row>
        <row r="518"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</row>
        <row r="519"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</row>
        <row r="520"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</row>
        <row r="521"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</row>
        <row r="522"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</row>
        <row r="523"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</row>
        <row r="524"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</row>
        <row r="525"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</row>
        <row r="526"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</row>
        <row r="527"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</row>
        <row r="528"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</row>
        <row r="529"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</row>
        <row r="530"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</row>
        <row r="531"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</row>
        <row r="532"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</row>
        <row r="533"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</row>
        <row r="534"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</row>
        <row r="535"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</row>
        <row r="536"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</row>
        <row r="537"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</row>
        <row r="538"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</row>
        <row r="539"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</row>
        <row r="540"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</row>
        <row r="541"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</row>
        <row r="542"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</row>
        <row r="543"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</row>
        <row r="544"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</row>
        <row r="545"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</row>
        <row r="546"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</row>
        <row r="547"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</row>
        <row r="548"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</row>
        <row r="549"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</row>
        <row r="550"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</row>
        <row r="551"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</row>
        <row r="552"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</row>
        <row r="553"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</row>
        <row r="554"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</row>
        <row r="555"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</row>
        <row r="556"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</row>
        <row r="557"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</row>
        <row r="558"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</row>
        <row r="559"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</row>
        <row r="560"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</row>
        <row r="561"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</row>
        <row r="562"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</row>
        <row r="563"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</row>
        <row r="564"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</row>
        <row r="565"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</row>
        <row r="566"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</row>
        <row r="567"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</row>
        <row r="568"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</row>
        <row r="569"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</row>
        <row r="570"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</row>
        <row r="571"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</row>
        <row r="572"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</row>
        <row r="573"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</row>
        <row r="574"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</row>
        <row r="575"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</row>
        <row r="576"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</row>
        <row r="577"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</row>
        <row r="578"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</row>
        <row r="579"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</row>
        <row r="580"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</row>
        <row r="581"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</row>
        <row r="582"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</row>
        <row r="583"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</row>
        <row r="584"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</row>
        <row r="585"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</row>
        <row r="586"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</row>
        <row r="587"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</row>
        <row r="588"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</row>
        <row r="589"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</row>
        <row r="590"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</row>
        <row r="591"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</row>
        <row r="592"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</row>
        <row r="593"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</row>
        <row r="594"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</row>
        <row r="595"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</row>
        <row r="596"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</row>
        <row r="597"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</row>
        <row r="598"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</row>
        <row r="599"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</row>
        <row r="600"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</row>
        <row r="601"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</row>
        <row r="602"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</row>
        <row r="603"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</row>
        <row r="604"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</row>
        <row r="605"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</row>
        <row r="606">
          <cell r="O606" t="str">
            <v/>
          </cell>
          <cell r="P606" t="str">
            <v/>
          </cell>
          <cell r="Q606" t="str">
            <v/>
          </cell>
          <cell r="R606" t="str">
            <v/>
          </cell>
        </row>
        <row r="607"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</row>
        <row r="608">
          <cell r="O608" t="str">
            <v/>
          </cell>
          <cell r="P608" t="str">
            <v/>
          </cell>
          <cell r="Q608" t="str">
            <v/>
          </cell>
          <cell r="R608" t="str">
            <v/>
          </cell>
        </row>
        <row r="609"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</row>
        <row r="610"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</row>
        <row r="611"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</row>
        <row r="612"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</row>
        <row r="613"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</row>
        <row r="614"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</row>
        <row r="615"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</row>
        <row r="616"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</row>
        <row r="617">
          <cell r="O617" t="str">
            <v/>
          </cell>
          <cell r="P617" t="str">
            <v/>
          </cell>
          <cell r="Q617" t="str">
            <v/>
          </cell>
          <cell r="R617" t="str">
            <v/>
          </cell>
        </row>
        <row r="618"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</row>
        <row r="619">
          <cell r="O619" t="str">
            <v/>
          </cell>
          <cell r="P619" t="str">
            <v/>
          </cell>
          <cell r="Q619" t="str">
            <v/>
          </cell>
          <cell r="R619" t="str">
            <v/>
          </cell>
        </row>
        <row r="620"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</row>
        <row r="621"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</row>
        <row r="622"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</row>
        <row r="623"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</row>
        <row r="624"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</row>
        <row r="625">
          <cell r="O625" t="str">
            <v/>
          </cell>
          <cell r="P625" t="str">
            <v/>
          </cell>
          <cell r="Q625" t="str">
            <v/>
          </cell>
          <cell r="R625" t="str">
            <v/>
          </cell>
        </row>
        <row r="626"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</row>
        <row r="627">
          <cell r="O627" t="str">
            <v/>
          </cell>
          <cell r="P627" t="str">
            <v/>
          </cell>
          <cell r="Q627" t="str">
            <v/>
          </cell>
          <cell r="R627" t="str">
            <v/>
          </cell>
        </row>
        <row r="628"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</row>
        <row r="629"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</row>
        <row r="630"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</row>
        <row r="631"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</row>
        <row r="632"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</row>
        <row r="633"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</row>
        <row r="634"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</row>
        <row r="635"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</row>
        <row r="636"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</row>
        <row r="637"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</row>
        <row r="638"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</row>
        <row r="639"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</row>
        <row r="640"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</row>
        <row r="641">
          <cell r="O641" t="str">
            <v/>
          </cell>
          <cell r="P641" t="str">
            <v/>
          </cell>
          <cell r="Q641" t="str">
            <v/>
          </cell>
          <cell r="R641" t="str">
            <v/>
          </cell>
        </row>
        <row r="642">
          <cell r="O642" t="str">
            <v/>
          </cell>
          <cell r="P642" t="str">
            <v/>
          </cell>
          <cell r="Q642" t="str">
            <v/>
          </cell>
          <cell r="R642" t="str">
            <v/>
          </cell>
        </row>
        <row r="643">
          <cell r="O643" t="str">
            <v/>
          </cell>
          <cell r="P643" t="str">
            <v/>
          </cell>
          <cell r="Q643" t="str">
            <v/>
          </cell>
          <cell r="R643" t="str">
            <v/>
          </cell>
        </row>
        <row r="644"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</row>
        <row r="645"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</row>
        <row r="646">
          <cell r="O646" t="str">
            <v/>
          </cell>
          <cell r="P646" t="str">
            <v/>
          </cell>
          <cell r="Q646" t="str">
            <v/>
          </cell>
          <cell r="R646" t="str">
            <v/>
          </cell>
        </row>
        <row r="647"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</row>
        <row r="648">
          <cell r="O648" t="str">
            <v/>
          </cell>
          <cell r="P648" t="str">
            <v/>
          </cell>
          <cell r="Q648" t="str">
            <v/>
          </cell>
          <cell r="R648" t="str">
            <v/>
          </cell>
        </row>
        <row r="649">
          <cell r="O649" t="str">
            <v/>
          </cell>
          <cell r="P649" t="str">
            <v/>
          </cell>
          <cell r="Q649" t="str">
            <v/>
          </cell>
          <cell r="R649" t="str">
            <v/>
          </cell>
        </row>
        <row r="650">
          <cell r="O650" t="str">
            <v/>
          </cell>
          <cell r="P650" t="str">
            <v/>
          </cell>
          <cell r="Q650" t="str">
            <v/>
          </cell>
          <cell r="R650" t="str">
            <v/>
          </cell>
        </row>
        <row r="651">
          <cell r="O651" t="str">
            <v/>
          </cell>
          <cell r="P651" t="str">
            <v/>
          </cell>
          <cell r="Q651" t="str">
            <v/>
          </cell>
          <cell r="R651" t="str">
            <v/>
          </cell>
        </row>
        <row r="652"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</row>
        <row r="653">
          <cell r="O653" t="str">
            <v/>
          </cell>
          <cell r="P653" t="str">
            <v/>
          </cell>
          <cell r="Q653" t="str">
            <v/>
          </cell>
          <cell r="R653" t="str">
            <v/>
          </cell>
        </row>
        <row r="654">
          <cell r="O654" t="str">
            <v/>
          </cell>
          <cell r="P654" t="str">
            <v/>
          </cell>
          <cell r="Q654" t="str">
            <v/>
          </cell>
          <cell r="R654" t="str">
            <v/>
          </cell>
        </row>
        <row r="655">
          <cell r="O655" t="str">
            <v/>
          </cell>
          <cell r="P655" t="str">
            <v/>
          </cell>
          <cell r="Q655" t="str">
            <v/>
          </cell>
          <cell r="R655" t="str">
            <v/>
          </cell>
        </row>
        <row r="656">
          <cell r="O656" t="str">
            <v/>
          </cell>
          <cell r="P656" t="str">
            <v/>
          </cell>
          <cell r="Q656" t="str">
            <v/>
          </cell>
          <cell r="R656" t="str">
            <v/>
          </cell>
        </row>
        <row r="657"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</row>
        <row r="658"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</row>
        <row r="659">
          <cell r="O659" t="str">
            <v/>
          </cell>
          <cell r="P659" t="str">
            <v/>
          </cell>
          <cell r="Q659" t="str">
            <v/>
          </cell>
          <cell r="R659" t="str">
            <v/>
          </cell>
        </row>
        <row r="660">
          <cell r="O660" t="str">
            <v/>
          </cell>
          <cell r="P660" t="str">
            <v/>
          </cell>
          <cell r="Q660" t="str">
            <v/>
          </cell>
          <cell r="R660" t="str">
            <v/>
          </cell>
        </row>
        <row r="661">
          <cell r="O661" t="str">
            <v/>
          </cell>
          <cell r="P661" t="str">
            <v/>
          </cell>
          <cell r="Q661" t="str">
            <v/>
          </cell>
          <cell r="R661" t="str">
            <v/>
          </cell>
        </row>
        <row r="662">
          <cell r="O662" t="str">
            <v/>
          </cell>
          <cell r="P662" t="str">
            <v/>
          </cell>
          <cell r="Q662" t="str">
            <v/>
          </cell>
          <cell r="R662" t="str">
            <v/>
          </cell>
        </row>
        <row r="663">
          <cell r="O663" t="str">
            <v/>
          </cell>
          <cell r="P663" t="str">
            <v/>
          </cell>
          <cell r="Q663" t="str">
            <v/>
          </cell>
          <cell r="R663" t="str">
            <v/>
          </cell>
        </row>
        <row r="664">
          <cell r="O664" t="str">
            <v/>
          </cell>
          <cell r="P664" t="str">
            <v/>
          </cell>
          <cell r="Q664" t="str">
            <v/>
          </cell>
          <cell r="R664" t="str">
            <v/>
          </cell>
        </row>
        <row r="665">
          <cell r="O665" t="str">
            <v/>
          </cell>
          <cell r="P665" t="str">
            <v/>
          </cell>
          <cell r="Q665" t="str">
            <v/>
          </cell>
          <cell r="R665" t="str">
            <v/>
          </cell>
        </row>
        <row r="666">
          <cell r="O666" t="str">
            <v/>
          </cell>
          <cell r="P666" t="str">
            <v/>
          </cell>
          <cell r="Q666" t="str">
            <v/>
          </cell>
          <cell r="R666" t="str">
            <v/>
          </cell>
        </row>
        <row r="667">
          <cell r="O667" t="str">
            <v/>
          </cell>
          <cell r="P667" t="str">
            <v/>
          </cell>
          <cell r="Q667" t="str">
            <v/>
          </cell>
          <cell r="R667" t="str">
            <v/>
          </cell>
        </row>
        <row r="668">
          <cell r="O668" t="str">
            <v/>
          </cell>
          <cell r="P668" t="str">
            <v/>
          </cell>
          <cell r="Q668" t="str">
            <v/>
          </cell>
          <cell r="R668" t="str">
            <v/>
          </cell>
        </row>
        <row r="669">
          <cell r="O669" t="str">
            <v/>
          </cell>
          <cell r="P669" t="str">
            <v/>
          </cell>
          <cell r="Q669" t="str">
            <v/>
          </cell>
          <cell r="R669" t="str">
            <v/>
          </cell>
        </row>
        <row r="670">
          <cell r="O670" t="str">
            <v/>
          </cell>
          <cell r="P670" t="str">
            <v/>
          </cell>
          <cell r="Q670" t="str">
            <v/>
          </cell>
          <cell r="R670" t="str">
            <v/>
          </cell>
        </row>
        <row r="671">
          <cell r="O671" t="str">
            <v/>
          </cell>
          <cell r="P671" t="str">
            <v/>
          </cell>
          <cell r="Q671" t="str">
            <v/>
          </cell>
          <cell r="R671" t="str">
            <v/>
          </cell>
        </row>
        <row r="672">
          <cell r="O672" t="str">
            <v/>
          </cell>
          <cell r="P672" t="str">
            <v/>
          </cell>
          <cell r="Q672" t="str">
            <v/>
          </cell>
          <cell r="R672" t="str">
            <v/>
          </cell>
        </row>
        <row r="673">
          <cell r="O673" t="str">
            <v/>
          </cell>
          <cell r="P673" t="str">
            <v/>
          </cell>
          <cell r="Q673" t="str">
            <v/>
          </cell>
          <cell r="R673" t="str">
            <v/>
          </cell>
        </row>
        <row r="674">
          <cell r="O674" t="str">
            <v/>
          </cell>
          <cell r="P674" t="str">
            <v/>
          </cell>
          <cell r="Q674" t="str">
            <v/>
          </cell>
          <cell r="R674" t="str">
            <v/>
          </cell>
        </row>
        <row r="675">
          <cell r="O675" t="str">
            <v/>
          </cell>
          <cell r="P675" t="str">
            <v/>
          </cell>
          <cell r="Q675" t="str">
            <v/>
          </cell>
          <cell r="R675" t="str">
            <v/>
          </cell>
        </row>
        <row r="676">
          <cell r="O676" t="str">
            <v/>
          </cell>
          <cell r="P676" t="str">
            <v/>
          </cell>
          <cell r="Q676" t="str">
            <v/>
          </cell>
          <cell r="R676" t="str">
            <v/>
          </cell>
        </row>
        <row r="677">
          <cell r="O677" t="str">
            <v/>
          </cell>
          <cell r="P677" t="str">
            <v/>
          </cell>
          <cell r="Q677" t="str">
            <v/>
          </cell>
          <cell r="R677" t="str">
            <v/>
          </cell>
        </row>
        <row r="678">
          <cell r="O678" t="str">
            <v/>
          </cell>
          <cell r="P678" t="str">
            <v/>
          </cell>
          <cell r="Q678" t="str">
            <v/>
          </cell>
          <cell r="R678" t="str">
            <v/>
          </cell>
        </row>
        <row r="679">
          <cell r="O679" t="str">
            <v/>
          </cell>
          <cell r="P679" t="str">
            <v/>
          </cell>
          <cell r="Q679" t="str">
            <v/>
          </cell>
          <cell r="R679" t="str">
            <v/>
          </cell>
        </row>
        <row r="680">
          <cell r="O680" t="str">
            <v/>
          </cell>
          <cell r="P680" t="str">
            <v/>
          </cell>
          <cell r="Q680" t="str">
            <v/>
          </cell>
          <cell r="R680" t="str">
            <v/>
          </cell>
        </row>
        <row r="681">
          <cell r="O681" t="str">
            <v/>
          </cell>
          <cell r="P681" t="str">
            <v/>
          </cell>
          <cell r="Q681" t="str">
            <v/>
          </cell>
          <cell r="R681" t="str">
            <v/>
          </cell>
        </row>
        <row r="682">
          <cell r="O682" t="str">
            <v/>
          </cell>
          <cell r="P682" t="str">
            <v/>
          </cell>
          <cell r="Q682" t="str">
            <v/>
          </cell>
          <cell r="R682" t="str">
            <v/>
          </cell>
        </row>
        <row r="683">
          <cell r="O683" t="str">
            <v/>
          </cell>
          <cell r="P683" t="str">
            <v/>
          </cell>
          <cell r="Q683" t="str">
            <v/>
          </cell>
          <cell r="R683" t="str">
            <v/>
          </cell>
        </row>
        <row r="684">
          <cell r="O684" t="str">
            <v/>
          </cell>
          <cell r="P684" t="str">
            <v/>
          </cell>
          <cell r="Q684" t="str">
            <v/>
          </cell>
          <cell r="R684" t="str">
            <v/>
          </cell>
        </row>
        <row r="685">
          <cell r="O685" t="str">
            <v/>
          </cell>
          <cell r="P685" t="str">
            <v/>
          </cell>
          <cell r="Q685" t="str">
            <v/>
          </cell>
          <cell r="R685" t="str">
            <v/>
          </cell>
        </row>
        <row r="686">
          <cell r="O686" t="str">
            <v/>
          </cell>
          <cell r="P686" t="str">
            <v/>
          </cell>
          <cell r="Q686" t="str">
            <v/>
          </cell>
          <cell r="R686" t="str">
            <v/>
          </cell>
        </row>
        <row r="687">
          <cell r="O687" t="str">
            <v/>
          </cell>
          <cell r="P687" t="str">
            <v/>
          </cell>
          <cell r="Q687" t="str">
            <v/>
          </cell>
          <cell r="R687" t="str">
            <v/>
          </cell>
        </row>
        <row r="688">
          <cell r="O688" t="str">
            <v/>
          </cell>
          <cell r="P688" t="str">
            <v/>
          </cell>
          <cell r="Q688" t="str">
            <v/>
          </cell>
          <cell r="R688" t="str">
            <v/>
          </cell>
        </row>
        <row r="689">
          <cell r="O689" t="str">
            <v/>
          </cell>
          <cell r="P689" t="str">
            <v/>
          </cell>
          <cell r="Q689" t="str">
            <v/>
          </cell>
          <cell r="R689" t="str">
            <v/>
          </cell>
        </row>
        <row r="690">
          <cell r="O690" t="str">
            <v/>
          </cell>
          <cell r="P690" t="str">
            <v/>
          </cell>
          <cell r="Q690" t="str">
            <v/>
          </cell>
          <cell r="R690" t="str">
            <v/>
          </cell>
        </row>
        <row r="691">
          <cell r="O691" t="str">
            <v/>
          </cell>
          <cell r="P691" t="str">
            <v/>
          </cell>
          <cell r="Q691" t="str">
            <v/>
          </cell>
          <cell r="R691" t="str">
            <v/>
          </cell>
        </row>
        <row r="692">
          <cell r="O692" t="str">
            <v/>
          </cell>
          <cell r="P692" t="str">
            <v/>
          </cell>
          <cell r="Q692" t="str">
            <v/>
          </cell>
          <cell r="R692" t="str">
            <v/>
          </cell>
        </row>
        <row r="693">
          <cell r="O693" t="str">
            <v/>
          </cell>
          <cell r="P693" t="str">
            <v/>
          </cell>
          <cell r="Q693" t="str">
            <v/>
          </cell>
          <cell r="R693" t="str">
            <v/>
          </cell>
        </row>
        <row r="694">
          <cell r="O694" t="str">
            <v/>
          </cell>
          <cell r="P694" t="str">
            <v/>
          </cell>
          <cell r="Q694" t="str">
            <v/>
          </cell>
          <cell r="R694" t="str">
            <v/>
          </cell>
        </row>
        <row r="695">
          <cell r="O695" t="str">
            <v/>
          </cell>
          <cell r="P695" t="str">
            <v/>
          </cell>
          <cell r="Q695" t="str">
            <v/>
          </cell>
          <cell r="R695" t="str">
            <v/>
          </cell>
        </row>
        <row r="696">
          <cell r="O696" t="str">
            <v/>
          </cell>
          <cell r="P696" t="str">
            <v/>
          </cell>
          <cell r="Q696" t="str">
            <v/>
          </cell>
          <cell r="R696" t="str">
            <v/>
          </cell>
        </row>
        <row r="697">
          <cell r="O697" t="str">
            <v/>
          </cell>
          <cell r="P697" t="str">
            <v/>
          </cell>
          <cell r="Q697" t="str">
            <v/>
          </cell>
          <cell r="R697" t="str">
            <v/>
          </cell>
        </row>
        <row r="698">
          <cell r="O698" t="str">
            <v/>
          </cell>
          <cell r="P698" t="str">
            <v/>
          </cell>
          <cell r="Q698" t="str">
            <v/>
          </cell>
          <cell r="R698" t="str">
            <v/>
          </cell>
        </row>
        <row r="699">
          <cell r="O699" t="str">
            <v/>
          </cell>
          <cell r="P699" t="str">
            <v/>
          </cell>
          <cell r="Q699" t="str">
            <v/>
          </cell>
          <cell r="R699" t="str">
            <v/>
          </cell>
        </row>
        <row r="700">
          <cell r="O700" t="str">
            <v/>
          </cell>
          <cell r="P700" t="str">
            <v/>
          </cell>
          <cell r="Q700" t="str">
            <v/>
          </cell>
          <cell r="R700" t="str">
            <v/>
          </cell>
        </row>
        <row r="701">
          <cell r="O701" t="str">
            <v/>
          </cell>
          <cell r="P701" t="str">
            <v/>
          </cell>
          <cell r="Q701" t="str">
            <v/>
          </cell>
          <cell r="R701" t="str">
            <v/>
          </cell>
        </row>
        <row r="702">
          <cell r="O702" t="str">
            <v/>
          </cell>
          <cell r="P702" t="str">
            <v/>
          </cell>
          <cell r="Q702" t="str">
            <v/>
          </cell>
          <cell r="R702" t="str">
            <v/>
          </cell>
        </row>
        <row r="703">
          <cell r="O703" t="str">
            <v/>
          </cell>
          <cell r="P703" t="str">
            <v/>
          </cell>
          <cell r="Q703" t="str">
            <v/>
          </cell>
          <cell r="R703" t="str">
            <v/>
          </cell>
        </row>
        <row r="704">
          <cell r="O704" t="str">
            <v/>
          </cell>
          <cell r="P704" t="str">
            <v/>
          </cell>
          <cell r="Q704" t="str">
            <v/>
          </cell>
          <cell r="R704" t="str">
            <v/>
          </cell>
        </row>
        <row r="705">
          <cell r="O705" t="str">
            <v/>
          </cell>
          <cell r="P705" t="str">
            <v/>
          </cell>
          <cell r="Q705" t="str">
            <v/>
          </cell>
          <cell r="R705" t="str">
            <v/>
          </cell>
        </row>
        <row r="706">
          <cell r="O706" t="str">
            <v/>
          </cell>
          <cell r="P706" t="str">
            <v/>
          </cell>
          <cell r="Q706" t="str">
            <v/>
          </cell>
          <cell r="R706" t="str">
            <v/>
          </cell>
        </row>
        <row r="707">
          <cell r="O707" t="str">
            <v/>
          </cell>
          <cell r="P707" t="str">
            <v/>
          </cell>
          <cell r="Q707" t="str">
            <v/>
          </cell>
          <cell r="R707" t="str">
            <v/>
          </cell>
        </row>
        <row r="708">
          <cell r="O708" t="str">
            <v/>
          </cell>
          <cell r="P708" t="str">
            <v/>
          </cell>
          <cell r="Q708" t="str">
            <v/>
          </cell>
          <cell r="R708" t="str">
            <v/>
          </cell>
        </row>
        <row r="709">
          <cell r="O709" t="str">
            <v/>
          </cell>
          <cell r="P709" t="str">
            <v/>
          </cell>
          <cell r="Q709" t="str">
            <v/>
          </cell>
          <cell r="R709" t="str">
            <v/>
          </cell>
        </row>
        <row r="710">
          <cell r="O710" t="str">
            <v/>
          </cell>
          <cell r="P710" t="str">
            <v/>
          </cell>
          <cell r="Q710" t="str">
            <v/>
          </cell>
          <cell r="R710" t="str">
            <v/>
          </cell>
        </row>
        <row r="711">
          <cell r="O711" t="str">
            <v/>
          </cell>
          <cell r="P711" t="str">
            <v/>
          </cell>
          <cell r="Q711" t="str">
            <v/>
          </cell>
          <cell r="R711" t="str">
            <v/>
          </cell>
        </row>
        <row r="712">
          <cell r="O712" t="str">
            <v/>
          </cell>
          <cell r="P712" t="str">
            <v/>
          </cell>
          <cell r="Q712" t="str">
            <v/>
          </cell>
          <cell r="R712" t="str">
            <v/>
          </cell>
        </row>
        <row r="713"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</row>
        <row r="714">
          <cell r="O714" t="str">
            <v/>
          </cell>
          <cell r="P714" t="str">
            <v/>
          </cell>
          <cell r="Q714" t="str">
            <v/>
          </cell>
          <cell r="R714" t="str">
            <v/>
          </cell>
        </row>
        <row r="715">
          <cell r="O715" t="str">
            <v/>
          </cell>
          <cell r="P715" t="str">
            <v/>
          </cell>
          <cell r="Q715" t="str">
            <v/>
          </cell>
          <cell r="R715" t="str">
            <v/>
          </cell>
        </row>
        <row r="716">
          <cell r="O716" t="str">
            <v/>
          </cell>
          <cell r="P716" t="str">
            <v/>
          </cell>
          <cell r="Q716" t="str">
            <v/>
          </cell>
          <cell r="R716" t="str">
            <v/>
          </cell>
        </row>
        <row r="717">
          <cell r="O717" t="str">
            <v/>
          </cell>
          <cell r="P717" t="str">
            <v/>
          </cell>
          <cell r="Q717" t="str">
            <v/>
          </cell>
          <cell r="R717" t="str">
            <v/>
          </cell>
        </row>
        <row r="718">
          <cell r="O718" t="str">
            <v/>
          </cell>
          <cell r="P718" t="str">
            <v/>
          </cell>
          <cell r="Q718" t="str">
            <v/>
          </cell>
          <cell r="R718" t="str">
            <v/>
          </cell>
        </row>
        <row r="719">
          <cell r="O719" t="str">
            <v/>
          </cell>
          <cell r="P719" t="str">
            <v/>
          </cell>
          <cell r="Q719" t="str">
            <v/>
          </cell>
          <cell r="R719" t="str">
            <v/>
          </cell>
        </row>
        <row r="720">
          <cell r="O720" t="str">
            <v/>
          </cell>
          <cell r="P720" t="str">
            <v/>
          </cell>
          <cell r="Q720" t="str">
            <v/>
          </cell>
          <cell r="R720" t="str">
            <v/>
          </cell>
        </row>
        <row r="721">
          <cell r="O721" t="str">
            <v/>
          </cell>
          <cell r="P721" t="str">
            <v/>
          </cell>
          <cell r="Q721" t="str">
            <v/>
          </cell>
          <cell r="R721" t="str">
            <v/>
          </cell>
        </row>
        <row r="722">
          <cell r="O722" t="str">
            <v/>
          </cell>
          <cell r="P722" t="str">
            <v/>
          </cell>
          <cell r="Q722" t="str">
            <v/>
          </cell>
          <cell r="R722" t="str">
            <v/>
          </cell>
        </row>
        <row r="723">
          <cell r="O723" t="str">
            <v/>
          </cell>
          <cell r="P723" t="str">
            <v/>
          </cell>
          <cell r="Q723" t="str">
            <v/>
          </cell>
          <cell r="R723" t="str">
            <v/>
          </cell>
        </row>
        <row r="724">
          <cell r="O724" t="str">
            <v/>
          </cell>
          <cell r="P724" t="str">
            <v/>
          </cell>
          <cell r="Q724" t="str">
            <v/>
          </cell>
          <cell r="R724" t="str">
            <v/>
          </cell>
        </row>
        <row r="725">
          <cell r="O725" t="str">
            <v/>
          </cell>
          <cell r="P725" t="str">
            <v/>
          </cell>
          <cell r="Q725" t="str">
            <v/>
          </cell>
          <cell r="R725" t="str">
            <v/>
          </cell>
        </row>
        <row r="726">
          <cell r="O726" t="str">
            <v/>
          </cell>
          <cell r="P726" t="str">
            <v/>
          </cell>
          <cell r="Q726" t="str">
            <v/>
          </cell>
          <cell r="R726" t="str">
            <v/>
          </cell>
        </row>
        <row r="727">
          <cell r="O727" t="str">
            <v/>
          </cell>
          <cell r="P727" t="str">
            <v/>
          </cell>
          <cell r="Q727" t="str">
            <v/>
          </cell>
          <cell r="R727" t="str">
            <v/>
          </cell>
        </row>
        <row r="728">
          <cell r="O728" t="str">
            <v/>
          </cell>
          <cell r="P728" t="str">
            <v/>
          </cell>
          <cell r="Q728" t="str">
            <v/>
          </cell>
          <cell r="R728" t="str">
            <v/>
          </cell>
        </row>
        <row r="729">
          <cell r="O729" t="str">
            <v/>
          </cell>
          <cell r="P729" t="str">
            <v/>
          </cell>
          <cell r="Q729" t="str">
            <v/>
          </cell>
          <cell r="R729" t="str">
            <v/>
          </cell>
        </row>
        <row r="730">
          <cell r="O730" t="str">
            <v/>
          </cell>
          <cell r="P730" t="str">
            <v/>
          </cell>
          <cell r="Q730" t="str">
            <v/>
          </cell>
          <cell r="R730" t="str">
            <v/>
          </cell>
        </row>
        <row r="731">
          <cell r="O731" t="str">
            <v/>
          </cell>
          <cell r="P731" t="str">
            <v/>
          </cell>
          <cell r="Q731" t="str">
            <v/>
          </cell>
          <cell r="R731" t="str">
            <v/>
          </cell>
        </row>
        <row r="732">
          <cell r="O732" t="str">
            <v/>
          </cell>
          <cell r="P732" t="str">
            <v/>
          </cell>
          <cell r="Q732" t="str">
            <v/>
          </cell>
          <cell r="R732" t="str">
            <v/>
          </cell>
        </row>
        <row r="733">
          <cell r="O733" t="str">
            <v/>
          </cell>
          <cell r="P733" t="str">
            <v/>
          </cell>
          <cell r="Q733" t="str">
            <v/>
          </cell>
          <cell r="R733" t="str">
            <v/>
          </cell>
        </row>
        <row r="734">
          <cell r="O734" t="str">
            <v/>
          </cell>
          <cell r="P734" t="str">
            <v/>
          </cell>
          <cell r="Q734" t="str">
            <v/>
          </cell>
          <cell r="R734" t="str">
            <v/>
          </cell>
        </row>
        <row r="735">
          <cell r="O735" t="str">
            <v/>
          </cell>
          <cell r="P735" t="str">
            <v/>
          </cell>
          <cell r="Q735" t="str">
            <v/>
          </cell>
          <cell r="R735" t="str">
            <v/>
          </cell>
        </row>
        <row r="736">
          <cell r="O736" t="str">
            <v/>
          </cell>
          <cell r="P736" t="str">
            <v/>
          </cell>
          <cell r="Q736" t="str">
            <v/>
          </cell>
          <cell r="R736" t="str">
            <v/>
          </cell>
        </row>
        <row r="737">
          <cell r="O737" t="str">
            <v/>
          </cell>
          <cell r="P737" t="str">
            <v/>
          </cell>
          <cell r="Q737" t="str">
            <v/>
          </cell>
          <cell r="R737" t="str">
            <v/>
          </cell>
        </row>
        <row r="738">
          <cell r="O738" t="str">
            <v/>
          </cell>
          <cell r="P738" t="str">
            <v/>
          </cell>
          <cell r="Q738" t="str">
            <v/>
          </cell>
          <cell r="R738" t="str">
            <v/>
          </cell>
        </row>
        <row r="739">
          <cell r="O739" t="str">
            <v/>
          </cell>
          <cell r="P739" t="str">
            <v/>
          </cell>
          <cell r="Q739" t="str">
            <v/>
          </cell>
          <cell r="R739" t="str">
            <v/>
          </cell>
        </row>
        <row r="740">
          <cell r="O740" t="str">
            <v/>
          </cell>
          <cell r="P740" t="str">
            <v/>
          </cell>
          <cell r="Q740" t="str">
            <v/>
          </cell>
          <cell r="R740" t="str">
            <v/>
          </cell>
        </row>
        <row r="741">
          <cell r="O741" t="str">
            <v/>
          </cell>
          <cell r="P741" t="str">
            <v/>
          </cell>
          <cell r="Q741" t="str">
            <v/>
          </cell>
          <cell r="R741" t="str">
            <v/>
          </cell>
        </row>
        <row r="742">
          <cell r="O742" t="str">
            <v/>
          </cell>
          <cell r="P742" t="str">
            <v/>
          </cell>
          <cell r="Q742" t="str">
            <v/>
          </cell>
          <cell r="R742" t="str">
            <v/>
          </cell>
        </row>
        <row r="743">
          <cell r="O743" t="str">
            <v/>
          </cell>
          <cell r="P743" t="str">
            <v/>
          </cell>
          <cell r="Q743" t="str">
            <v/>
          </cell>
          <cell r="R743" t="str">
            <v/>
          </cell>
        </row>
        <row r="744">
          <cell r="O744" t="str">
            <v/>
          </cell>
          <cell r="P744" t="str">
            <v/>
          </cell>
          <cell r="Q744" t="str">
            <v/>
          </cell>
          <cell r="R744" t="str">
            <v/>
          </cell>
        </row>
        <row r="745">
          <cell r="O745" t="str">
            <v/>
          </cell>
          <cell r="P745" t="str">
            <v/>
          </cell>
          <cell r="Q745" t="str">
            <v/>
          </cell>
          <cell r="R745" t="str">
            <v/>
          </cell>
        </row>
        <row r="746">
          <cell r="O746" t="str">
            <v/>
          </cell>
          <cell r="P746" t="str">
            <v/>
          </cell>
          <cell r="Q746" t="str">
            <v/>
          </cell>
          <cell r="R746" t="str">
            <v/>
          </cell>
        </row>
        <row r="747">
          <cell r="O747" t="str">
            <v/>
          </cell>
          <cell r="P747" t="str">
            <v/>
          </cell>
          <cell r="Q747" t="str">
            <v/>
          </cell>
          <cell r="R747" t="str">
            <v/>
          </cell>
        </row>
        <row r="748">
          <cell r="O748" t="str">
            <v/>
          </cell>
          <cell r="P748" t="str">
            <v/>
          </cell>
          <cell r="Q748" t="str">
            <v/>
          </cell>
          <cell r="R748" t="str">
            <v/>
          </cell>
        </row>
        <row r="749">
          <cell r="O749" t="str">
            <v/>
          </cell>
          <cell r="P749" t="str">
            <v/>
          </cell>
          <cell r="Q749" t="str">
            <v/>
          </cell>
          <cell r="R749" t="str">
            <v/>
          </cell>
        </row>
        <row r="750">
          <cell r="O750" t="str">
            <v/>
          </cell>
          <cell r="P750" t="str">
            <v/>
          </cell>
          <cell r="Q750" t="str">
            <v/>
          </cell>
          <cell r="R750" t="str">
            <v/>
          </cell>
        </row>
        <row r="751">
          <cell r="O751" t="str">
            <v/>
          </cell>
          <cell r="P751" t="str">
            <v/>
          </cell>
          <cell r="Q751" t="str">
            <v/>
          </cell>
          <cell r="R751" t="str">
            <v/>
          </cell>
        </row>
        <row r="752">
          <cell r="O752" t="str">
            <v/>
          </cell>
          <cell r="P752" t="str">
            <v/>
          </cell>
          <cell r="Q752" t="str">
            <v/>
          </cell>
          <cell r="R752" t="str">
            <v/>
          </cell>
        </row>
        <row r="753">
          <cell r="O753" t="str">
            <v/>
          </cell>
          <cell r="P753" t="str">
            <v/>
          </cell>
          <cell r="Q753" t="str">
            <v/>
          </cell>
          <cell r="R753" t="str">
            <v/>
          </cell>
        </row>
        <row r="754">
          <cell r="O754" t="str">
            <v/>
          </cell>
          <cell r="P754" t="str">
            <v/>
          </cell>
          <cell r="Q754" t="str">
            <v/>
          </cell>
          <cell r="R754" t="str">
            <v/>
          </cell>
        </row>
        <row r="755">
          <cell r="O755" t="str">
            <v/>
          </cell>
          <cell r="P755" t="str">
            <v/>
          </cell>
          <cell r="Q755" t="str">
            <v/>
          </cell>
          <cell r="R755" t="str">
            <v/>
          </cell>
        </row>
        <row r="756">
          <cell r="O756" t="str">
            <v/>
          </cell>
          <cell r="P756" t="str">
            <v/>
          </cell>
          <cell r="Q756" t="str">
            <v/>
          </cell>
          <cell r="R756" t="str">
            <v/>
          </cell>
        </row>
        <row r="757">
          <cell r="O757" t="str">
            <v/>
          </cell>
          <cell r="P757" t="str">
            <v/>
          </cell>
          <cell r="Q757" t="str">
            <v/>
          </cell>
          <cell r="R757" t="str">
            <v/>
          </cell>
        </row>
        <row r="758">
          <cell r="O758" t="str">
            <v/>
          </cell>
          <cell r="P758" t="str">
            <v/>
          </cell>
          <cell r="Q758" t="str">
            <v/>
          </cell>
          <cell r="R758" t="str">
            <v/>
          </cell>
        </row>
        <row r="759">
          <cell r="O759" t="str">
            <v/>
          </cell>
          <cell r="P759" t="str">
            <v/>
          </cell>
          <cell r="Q759" t="str">
            <v/>
          </cell>
          <cell r="R759" t="str">
            <v/>
          </cell>
        </row>
        <row r="760">
          <cell r="O760" t="str">
            <v/>
          </cell>
          <cell r="P760" t="str">
            <v/>
          </cell>
          <cell r="Q760" t="str">
            <v/>
          </cell>
          <cell r="R760" t="str">
            <v/>
          </cell>
        </row>
        <row r="761">
          <cell r="O761" t="str">
            <v/>
          </cell>
          <cell r="P761" t="str">
            <v/>
          </cell>
          <cell r="Q761" t="str">
            <v/>
          </cell>
          <cell r="R761" t="str">
            <v/>
          </cell>
        </row>
        <row r="762">
          <cell r="O762" t="str">
            <v/>
          </cell>
          <cell r="P762" t="str">
            <v/>
          </cell>
          <cell r="Q762" t="str">
            <v/>
          </cell>
          <cell r="R762" t="str">
            <v/>
          </cell>
        </row>
        <row r="763">
          <cell r="O763" t="str">
            <v/>
          </cell>
          <cell r="P763" t="str">
            <v/>
          </cell>
          <cell r="Q763" t="str">
            <v/>
          </cell>
          <cell r="R763" t="str">
            <v/>
          </cell>
        </row>
        <row r="764">
          <cell r="O764" t="str">
            <v/>
          </cell>
          <cell r="P764" t="str">
            <v/>
          </cell>
          <cell r="Q764" t="str">
            <v/>
          </cell>
          <cell r="R764" t="str">
            <v/>
          </cell>
        </row>
        <row r="765">
          <cell r="O765" t="str">
            <v/>
          </cell>
          <cell r="P765" t="str">
            <v/>
          </cell>
          <cell r="Q765" t="str">
            <v/>
          </cell>
          <cell r="R765" t="str">
            <v/>
          </cell>
        </row>
        <row r="766">
          <cell r="O766" t="str">
            <v/>
          </cell>
          <cell r="P766" t="str">
            <v/>
          </cell>
          <cell r="Q766" t="str">
            <v/>
          </cell>
          <cell r="R766" t="str">
            <v/>
          </cell>
        </row>
        <row r="767">
          <cell r="O767" t="str">
            <v/>
          </cell>
          <cell r="P767" t="str">
            <v/>
          </cell>
          <cell r="Q767" t="str">
            <v/>
          </cell>
          <cell r="R767" t="str">
            <v/>
          </cell>
        </row>
        <row r="768">
          <cell r="O768" t="str">
            <v/>
          </cell>
          <cell r="P768" t="str">
            <v/>
          </cell>
          <cell r="Q768" t="str">
            <v/>
          </cell>
          <cell r="R768" t="str">
            <v/>
          </cell>
        </row>
        <row r="769">
          <cell r="O769" t="str">
            <v/>
          </cell>
          <cell r="P769" t="str">
            <v/>
          </cell>
          <cell r="Q769" t="str">
            <v/>
          </cell>
          <cell r="R769" t="str">
            <v/>
          </cell>
        </row>
        <row r="770">
          <cell r="O770" t="str">
            <v/>
          </cell>
          <cell r="P770" t="str">
            <v/>
          </cell>
          <cell r="Q770" t="str">
            <v/>
          </cell>
          <cell r="R770" t="str">
            <v/>
          </cell>
        </row>
        <row r="771">
          <cell r="O771" t="str">
            <v/>
          </cell>
          <cell r="P771" t="str">
            <v/>
          </cell>
          <cell r="Q771" t="str">
            <v/>
          </cell>
          <cell r="R771" t="str">
            <v/>
          </cell>
        </row>
        <row r="772">
          <cell r="O772" t="str">
            <v/>
          </cell>
          <cell r="P772" t="str">
            <v/>
          </cell>
          <cell r="Q772" t="str">
            <v/>
          </cell>
          <cell r="R772" t="str">
            <v/>
          </cell>
        </row>
        <row r="773">
          <cell r="O773" t="str">
            <v/>
          </cell>
          <cell r="P773" t="str">
            <v/>
          </cell>
          <cell r="Q773" t="str">
            <v/>
          </cell>
          <cell r="R773" t="str">
            <v/>
          </cell>
        </row>
        <row r="774">
          <cell r="O774" t="str">
            <v/>
          </cell>
          <cell r="P774" t="str">
            <v/>
          </cell>
          <cell r="Q774" t="str">
            <v/>
          </cell>
          <cell r="R774" t="str">
            <v/>
          </cell>
        </row>
        <row r="775">
          <cell r="O775" t="str">
            <v/>
          </cell>
          <cell r="P775" t="str">
            <v/>
          </cell>
          <cell r="Q775" t="str">
            <v/>
          </cell>
          <cell r="R775" t="str">
            <v/>
          </cell>
        </row>
        <row r="776">
          <cell r="O776" t="str">
            <v/>
          </cell>
          <cell r="P776" t="str">
            <v/>
          </cell>
          <cell r="Q776" t="str">
            <v/>
          </cell>
          <cell r="R776" t="str">
            <v/>
          </cell>
        </row>
        <row r="777">
          <cell r="O777" t="str">
            <v/>
          </cell>
          <cell r="P777" t="str">
            <v/>
          </cell>
          <cell r="Q777" t="str">
            <v/>
          </cell>
          <cell r="R777" t="str">
            <v/>
          </cell>
        </row>
        <row r="778">
          <cell r="O778" t="str">
            <v/>
          </cell>
          <cell r="P778" t="str">
            <v/>
          </cell>
          <cell r="Q778" t="str">
            <v/>
          </cell>
          <cell r="R778" t="str">
            <v/>
          </cell>
        </row>
        <row r="779">
          <cell r="O779" t="str">
            <v/>
          </cell>
          <cell r="P779" t="str">
            <v/>
          </cell>
          <cell r="Q779" t="str">
            <v/>
          </cell>
          <cell r="R779" t="str">
            <v/>
          </cell>
        </row>
        <row r="780">
          <cell r="O780" t="str">
            <v/>
          </cell>
          <cell r="P780" t="str">
            <v/>
          </cell>
          <cell r="Q780" t="str">
            <v/>
          </cell>
          <cell r="R780" t="str">
            <v/>
          </cell>
        </row>
        <row r="781">
          <cell r="O781" t="str">
            <v/>
          </cell>
          <cell r="P781" t="str">
            <v/>
          </cell>
          <cell r="Q781" t="str">
            <v/>
          </cell>
          <cell r="R781" t="str">
            <v/>
          </cell>
        </row>
        <row r="782">
          <cell r="O782" t="str">
            <v/>
          </cell>
          <cell r="P782" t="str">
            <v/>
          </cell>
          <cell r="Q782" t="str">
            <v/>
          </cell>
          <cell r="R782" t="str">
            <v/>
          </cell>
        </row>
        <row r="783">
          <cell r="O783" t="str">
            <v/>
          </cell>
          <cell r="P783" t="str">
            <v/>
          </cell>
          <cell r="Q783" t="str">
            <v/>
          </cell>
          <cell r="R783" t="str">
            <v/>
          </cell>
        </row>
        <row r="784">
          <cell r="O784" t="str">
            <v/>
          </cell>
          <cell r="P784" t="str">
            <v/>
          </cell>
          <cell r="Q784" t="str">
            <v/>
          </cell>
          <cell r="R784" t="str">
            <v/>
          </cell>
        </row>
        <row r="785">
          <cell r="O785" t="str">
            <v/>
          </cell>
          <cell r="P785" t="str">
            <v/>
          </cell>
          <cell r="Q785" t="str">
            <v/>
          </cell>
          <cell r="R785" t="str">
            <v/>
          </cell>
        </row>
        <row r="786">
          <cell r="O786" t="str">
            <v/>
          </cell>
          <cell r="P786" t="str">
            <v/>
          </cell>
          <cell r="Q786" t="str">
            <v/>
          </cell>
          <cell r="R786" t="str">
            <v/>
          </cell>
        </row>
        <row r="787">
          <cell r="O787" t="str">
            <v/>
          </cell>
          <cell r="P787" t="str">
            <v/>
          </cell>
          <cell r="Q787" t="str">
            <v/>
          </cell>
          <cell r="R787" t="str">
            <v/>
          </cell>
        </row>
        <row r="788">
          <cell r="O788" t="str">
            <v/>
          </cell>
          <cell r="P788" t="str">
            <v/>
          </cell>
          <cell r="Q788" t="str">
            <v/>
          </cell>
          <cell r="R788" t="str">
            <v/>
          </cell>
        </row>
        <row r="789">
          <cell r="O789" t="str">
            <v/>
          </cell>
          <cell r="P789" t="str">
            <v/>
          </cell>
          <cell r="Q789" t="str">
            <v/>
          </cell>
          <cell r="R789" t="str">
            <v/>
          </cell>
        </row>
        <row r="790">
          <cell r="O790" t="str">
            <v/>
          </cell>
          <cell r="P790" t="str">
            <v/>
          </cell>
          <cell r="Q790" t="str">
            <v/>
          </cell>
          <cell r="R790" t="str">
            <v/>
          </cell>
        </row>
        <row r="791">
          <cell r="O791" t="str">
            <v/>
          </cell>
          <cell r="P791" t="str">
            <v/>
          </cell>
          <cell r="Q791" t="str">
            <v/>
          </cell>
          <cell r="R79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E46-B141-4E5C-96EE-12E30EEBE898}">
  <sheetPr>
    <pageSetUpPr fitToPage="1"/>
  </sheetPr>
  <dimension ref="A1:K36"/>
  <sheetViews>
    <sheetView tabSelected="1" workbookViewId="0">
      <pane ySplit="8" topLeftCell="A24" activePane="bottomLeft" state="frozen"/>
      <selection pane="bottomLeft" activeCell="E18" sqref="E18"/>
    </sheetView>
  </sheetViews>
  <sheetFormatPr defaultRowHeight="18" x14ac:dyDescent="0.45"/>
  <cols>
    <col min="1" max="1" width="3.5" bestFit="1" customWidth="1"/>
    <col min="2" max="2" width="40.69921875" customWidth="1"/>
    <col min="3" max="3" width="24.5" customWidth="1"/>
    <col min="4" max="4" width="13.19921875" customWidth="1"/>
    <col min="5" max="7" width="11.19921875" customWidth="1"/>
    <col min="8" max="8" width="9.69921875" customWidth="1"/>
    <col min="9" max="9" width="11.59765625" customWidth="1"/>
    <col min="10" max="10" width="16.59765625" hidden="1" customWidth="1"/>
    <col min="11" max="11" width="16.5" hidden="1" customWidth="1"/>
    <col min="12" max="12" width="9" customWidth="1"/>
  </cols>
  <sheetData>
    <row r="1" spans="1:11" ht="21.6" x14ac:dyDescent="0.45">
      <c r="A1" s="21" t="s">
        <v>260</v>
      </c>
      <c r="B1" s="21"/>
      <c r="C1" s="21"/>
      <c r="D1" s="21"/>
      <c r="E1" s="21"/>
      <c r="F1" s="21"/>
      <c r="G1" s="21"/>
      <c r="H1" s="21"/>
    </row>
    <row r="2" spans="1:11" ht="22.5" customHeight="1" x14ac:dyDescent="0.45">
      <c r="A2" s="8"/>
      <c r="B2" s="17" t="s">
        <v>255</v>
      </c>
      <c r="C2" s="47" t="s">
        <v>256</v>
      </c>
      <c r="D2" s="47"/>
      <c r="E2" s="18" t="s">
        <v>249</v>
      </c>
      <c r="F2" s="19"/>
      <c r="G2" s="19"/>
      <c r="H2" s="19"/>
    </row>
    <row r="3" spans="1:11" ht="22.5" customHeight="1" x14ac:dyDescent="0.45">
      <c r="A3" s="8"/>
      <c r="B3" s="17" t="s">
        <v>250</v>
      </c>
      <c r="C3" s="47" t="s">
        <v>251</v>
      </c>
      <c r="D3" s="47"/>
      <c r="E3" s="18" t="s">
        <v>252</v>
      </c>
      <c r="F3" s="20"/>
      <c r="G3" s="19"/>
      <c r="H3" s="19"/>
      <c r="J3" s="10">
        <v>10</v>
      </c>
      <c r="K3" s="9" t="str">
        <f>IF(OR(ISBLANK(J3),J3=10),"",VLOOKUP(J3,サービスの種類,2,FALSE))</f>
        <v/>
      </c>
    </row>
    <row r="4" spans="1:11" ht="22.5" customHeight="1" x14ac:dyDescent="0.45">
      <c r="A4" s="8"/>
      <c r="B4" s="17" t="s">
        <v>253</v>
      </c>
      <c r="C4" s="47" t="s">
        <v>254</v>
      </c>
      <c r="D4" s="47"/>
      <c r="E4" s="18" t="s">
        <v>257</v>
      </c>
      <c r="F4" s="19"/>
      <c r="G4" s="19"/>
      <c r="H4" s="19"/>
    </row>
    <row r="5" spans="1:11" x14ac:dyDescent="0.45">
      <c r="A5" s="46" t="s">
        <v>39</v>
      </c>
      <c r="B5" s="46"/>
      <c r="C5" s="46"/>
      <c r="D5" s="46"/>
      <c r="E5" s="46"/>
      <c r="F5" s="46"/>
      <c r="G5" s="2"/>
      <c r="H5" s="2"/>
    </row>
    <row r="6" spans="1:11" ht="24" customHeight="1" x14ac:dyDescent="0.2">
      <c r="A6" s="48" t="str">
        <f ca="1">IF(ISERROR(INDEX(INDIRECT($K$3),1,1)),"",INDEX(INDIRECT($K$3),1,1))</f>
        <v/>
      </c>
      <c r="B6" s="48"/>
      <c r="C6" s="48"/>
      <c r="D6" s="49" t="str">
        <f>IF(OR(ISBLANK(J3),J3=10),"",IF(OR(J3=8,J3=9),"※登録者数は","※入所者数、待機者数は")&amp;TEXT(データ貼付けシート!I3,"ge.m.d")&amp;"現在の数値です。")</f>
        <v/>
      </c>
      <c r="E6" s="49"/>
      <c r="F6" s="49"/>
      <c r="G6" s="49"/>
      <c r="H6" s="26"/>
    </row>
    <row r="7" spans="1:11" ht="49.5" customHeight="1" x14ac:dyDescent="0.45">
      <c r="A7" s="3"/>
      <c r="B7" s="45" t="str">
        <f ca="1">IF(ISERROR(INDEX(INDIRECT($K$3),2,1)),"",INDEX(INDIRECT($K$3),2,1))</f>
        <v/>
      </c>
      <c r="C7" s="45"/>
      <c r="D7" s="45"/>
      <c r="E7" s="45"/>
      <c r="F7" s="45"/>
      <c r="G7" s="45"/>
      <c r="H7" s="23"/>
    </row>
    <row r="8" spans="1:11" x14ac:dyDescent="0.45">
      <c r="A8" s="4"/>
      <c r="B8" s="5" t="s">
        <v>40</v>
      </c>
      <c r="C8" s="5" t="s">
        <v>41</v>
      </c>
      <c r="D8" s="5" t="s">
        <v>42</v>
      </c>
      <c r="E8" s="5" t="s">
        <v>44</v>
      </c>
      <c r="F8" s="5" t="str">
        <f>IF(OR(K3="小規模多機能型居宅介護",K3="複合型サービス"),"現登録者数","現入所者数")</f>
        <v>現入所者数</v>
      </c>
      <c r="G8" s="16" t="str">
        <f>IF(OR(K3="小規模多機能型居宅介護",K3="複合型サービス"),"","入所待機者数")</f>
        <v>入所待機者数</v>
      </c>
    </row>
    <row r="9" spans="1:11" x14ac:dyDescent="0.45">
      <c r="A9" s="6" t="str">
        <f ca="1">IF(ISERROR(INDEX(INDIRECT($K$3),3,1)),"",INDEX(INDIRECT($K$3),3,1))</f>
        <v/>
      </c>
      <c r="B9" s="7" t="str">
        <f ca="1">IF(ISERROR(INDEX(INDIRECT($K$3),3,2)),"",INDEX(INDIRECT($K$3),3,2))</f>
        <v/>
      </c>
      <c r="C9" s="7" t="str">
        <f ca="1">IF(ISERROR(INDEX(INDIRECT($K$3),3,3)),"",INDEX(INDIRECT($K$3),3,3))</f>
        <v/>
      </c>
      <c r="D9" s="7" t="str">
        <f ca="1">IF(ISERROR(INDEX(INDIRECT($K$3),3,4)),"",INDEX(INDIRECT($K$3),3,4))</f>
        <v/>
      </c>
      <c r="E9" s="7" t="str">
        <f ca="1">IF(ISERROR(INDEX(INDIRECT($K$3),3,6)),"",INDEX(INDIRECT($K$3),3,6))</f>
        <v/>
      </c>
      <c r="F9" s="7" t="str">
        <f ca="1">IF(ISERROR(INDEX(INDIRECT($K$3),3,7)),"",INDEX(INDIRECT($K$3),3,7))</f>
        <v/>
      </c>
      <c r="G9" s="7" t="str">
        <f ca="1">IF(ISERROR(INDEX(INDIRECT($K$3),3,8)),"",INDEX(INDIRECT($K$3),3,8))</f>
        <v/>
      </c>
    </row>
    <row r="10" spans="1:11" x14ac:dyDescent="0.45">
      <c r="A10" s="6" t="str">
        <f ca="1">IF(ISERROR(INDEX(INDIRECT($K$3),4,1)),"",INDEX(INDIRECT($K$3),4,1))</f>
        <v/>
      </c>
      <c r="B10" s="7" t="str">
        <f ca="1">IF(ISERROR(INDEX(INDIRECT($K$3),4,2)),"",INDEX(INDIRECT($K$3),4,2))</f>
        <v/>
      </c>
      <c r="C10" s="7" t="str">
        <f ca="1">IF(ISERROR(INDEX(INDIRECT($K$3),4,3)),"",INDEX(INDIRECT($K$3),4,3))</f>
        <v/>
      </c>
      <c r="D10" s="7" t="str">
        <f ca="1">IF(ISERROR(INDEX(INDIRECT($K$3),4,4)),"",INDEX(INDIRECT($K$3),4,4))</f>
        <v/>
      </c>
      <c r="E10" s="7" t="str">
        <f ca="1">IF(ISERROR(INDEX(INDIRECT($K$3),4,6)),"",INDEX(INDIRECT($K$3),4,6))</f>
        <v/>
      </c>
      <c r="F10" s="7" t="str">
        <f ca="1">IF(ISERROR(INDEX(INDIRECT($K$3),4,7)),"",INDEX(INDIRECT($K$3),4,7))</f>
        <v/>
      </c>
      <c r="G10" s="7" t="str">
        <f ca="1">IF(ISERROR(INDEX(INDIRECT($K$3),4,8)),"",INDEX(INDIRECT($K$3),4,8))</f>
        <v/>
      </c>
    </row>
    <row r="11" spans="1:11" x14ac:dyDescent="0.45">
      <c r="A11" s="6" t="str">
        <f ca="1">IF(ISERROR(INDEX(INDIRECT($K$3),5,1)),"",INDEX(INDIRECT($K$3),5,1))</f>
        <v/>
      </c>
      <c r="B11" s="7" t="str">
        <f ca="1">IF(ISERROR(INDEX(INDIRECT($K$3),5,2)),"",INDEX(INDIRECT($K$3),5,2))</f>
        <v/>
      </c>
      <c r="C11" s="7" t="str">
        <f ca="1">IF(ISERROR(INDEX(INDIRECT($K$3),5,3)),"",INDEX(INDIRECT($K$3),5,3))</f>
        <v/>
      </c>
      <c r="D11" s="7" t="str">
        <f ca="1">IF(ISERROR(INDEX(INDIRECT($K$3),5,4)),"",INDEX(INDIRECT($K$3),5,4))</f>
        <v/>
      </c>
      <c r="E11" s="7" t="str">
        <f ca="1">IF(ISERROR(INDEX(INDIRECT($K$3),5,6)),"",INDEX(INDIRECT($K$3),5,6))</f>
        <v/>
      </c>
      <c r="F11" s="7" t="str">
        <f ca="1">IF(ISERROR(INDEX(INDIRECT($K$3),5,7)),"",INDEX(INDIRECT($K$3),5,7))</f>
        <v/>
      </c>
      <c r="G11" s="7" t="str">
        <f ca="1">IF(ISERROR(INDEX(INDIRECT($K$3),5,8)),"",INDEX(INDIRECT($K$3),5,8))</f>
        <v/>
      </c>
    </row>
    <row r="12" spans="1:11" x14ac:dyDescent="0.45">
      <c r="A12" s="6" t="str">
        <f ca="1">IF(ISERROR(INDEX(INDIRECT($K$3),6,1)),"",INDEX(INDIRECT($K$3),6,1))</f>
        <v/>
      </c>
      <c r="B12" s="7" t="str">
        <f ca="1">IF(ISERROR(INDEX(INDIRECT($K$3),6,2)),"",INDEX(INDIRECT($K$3),6,2))</f>
        <v/>
      </c>
      <c r="C12" s="7" t="str">
        <f ca="1">IF(ISERROR(INDEX(INDIRECT($K$3),6,3)),"",INDEX(INDIRECT($K$3),6,3))</f>
        <v/>
      </c>
      <c r="D12" s="7" t="str">
        <f ca="1">IF(ISERROR(INDEX(INDIRECT($K$3),6,4)),"",INDEX(INDIRECT($K$3),6,4))</f>
        <v/>
      </c>
      <c r="E12" s="7" t="str">
        <f ca="1">IF(ISERROR(INDEX(INDIRECT($K$3),6,6)),"",INDEX(INDIRECT($K$3),6,6))</f>
        <v/>
      </c>
      <c r="F12" s="7" t="str">
        <f ca="1">IF(ISERROR(INDEX(INDIRECT($K$3),6,7)),"",INDEX(INDIRECT($K$3),6,7))</f>
        <v/>
      </c>
      <c r="G12" s="7" t="str">
        <f ca="1">IF(ISERROR(INDEX(INDIRECT($K$3),6,8)),"",INDEX(INDIRECT($K$3),6,8))</f>
        <v/>
      </c>
    </row>
    <row r="13" spans="1:11" x14ac:dyDescent="0.45">
      <c r="A13" s="6" t="str">
        <f ca="1">IF(ISERROR(INDEX(INDIRECT($K$3),7,1)),"",INDEX(INDIRECT($K$3),7,1))</f>
        <v/>
      </c>
      <c r="B13" s="7" t="str">
        <f ca="1">IF(ISERROR(INDEX(INDIRECT($K$3),7,2)),"",INDEX(INDIRECT($K$3),7,2))</f>
        <v/>
      </c>
      <c r="C13" s="7" t="str">
        <f ca="1">IF(ISERROR(INDEX(INDIRECT($K$3),7,3)),"",INDEX(INDIRECT($K$3),7,3))</f>
        <v/>
      </c>
      <c r="D13" s="7" t="str">
        <f ca="1">IF(ISERROR(INDEX(INDIRECT($K$3),7,4)),"",INDEX(INDIRECT($K$3),7,4))</f>
        <v/>
      </c>
      <c r="E13" s="7" t="str">
        <f ca="1">IF(ISERROR(INDEX(INDIRECT($K$3),7,6)),"",INDEX(INDIRECT($K$3),7,6))</f>
        <v/>
      </c>
      <c r="F13" s="7" t="str">
        <f ca="1">IF(ISERROR(INDEX(INDIRECT($K$3),7,7)),"",INDEX(INDIRECT($K$3),7,7))</f>
        <v/>
      </c>
      <c r="G13" s="7" t="str">
        <f ca="1">IF(ISERROR(INDEX(INDIRECT($K$3),7,8)),"",INDEX(INDIRECT($K$3),7,8))</f>
        <v/>
      </c>
    </row>
    <row r="14" spans="1:11" x14ac:dyDescent="0.45">
      <c r="A14" s="6" t="str">
        <f ca="1">IF(ISERROR(INDEX(INDIRECT($K$3),8,1)),"",INDEX(INDIRECT($K$3),8,1))</f>
        <v/>
      </c>
      <c r="B14" s="7" t="str">
        <f ca="1">IF(ISERROR(INDEX(INDIRECT($K$3),8,2)),"",INDEX(INDIRECT($K$3),8,2))</f>
        <v/>
      </c>
      <c r="C14" s="7" t="str">
        <f ca="1">IF(ISERROR(INDEX(INDIRECT($K$3),8,3)),"",INDEX(INDIRECT($K$3),8,3))</f>
        <v/>
      </c>
      <c r="D14" s="7" t="str">
        <f ca="1">IF(ISERROR(INDEX(INDIRECT($K$3),8,4)),"",INDEX(INDIRECT($K$3),8,4))</f>
        <v/>
      </c>
      <c r="E14" s="7" t="str">
        <f ca="1">IF(ISERROR(INDEX(INDIRECT($K$3),8,6)),"",INDEX(INDIRECT($K$3),8,6))</f>
        <v/>
      </c>
      <c r="F14" s="7" t="str">
        <f ca="1">IF(ISERROR(INDEX(INDIRECT($K$3),8,7)),"",INDEX(INDIRECT($K$3),8,7))</f>
        <v/>
      </c>
      <c r="G14" s="7" t="str">
        <f ca="1">IF(ISERROR(INDEX(INDIRECT($K$3),8,8)),"",INDEX(INDIRECT($K$3),8,8))</f>
        <v/>
      </c>
    </row>
    <row r="15" spans="1:11" x14ac:dyDescent="0.45">
      <c r="A15" s="6" t="str">
        <f ca="1">IF(ISERROR(INDEX(INDIRECT($K$3),9,1)),"",INDEX(INDIRECT($K$3),9,1))</f>
        <v/>
      </c>
      <c r="B15" s="7" t="str">
        <f ca="1">IF(ISERROR(INDEX(INDIRECT($K$3),9,2)),"",INDEX(INDIRECT($K$3),9,2))</f>
        <v/>
      </c>
      <c r="C15" s="7" t="str">
        <f ca="1">IF(ISERROR(INDEX(INDIRECT($K$3),9,3)),"",INDEX(INDIRECT($K$3),9,3))</f>
        <v/>
      </c>
      <c r="D15" s="7" t="str">
        <f ca="1">IF(ISERROR(INDEX(INDIRECT($K$3),9,4)),"",INDEX(INDIRECT($K$3),9,4))</f>
        <v/>
      </c>
      <c r="E15" s="7" t="str">
        <f ca="1">IF(ISERROR(INDEX(INDIRECT($K$3),9,6)),"",INDEX(INDIRECT($K$3),9,6))</f>
        <v/>
      </c>
      <c r="F15" s="7" t="str">
        <f ca="1">IF(ISERROR(INDEX(INDIRECT($K$3),9,7)),"",INDEX(INDIRECT($K$3),9,7))</f>
        <v/>
      </c>
      <c r="G15" s="7" t="str">
        <f ca="1">IF(ISERROR(INDEX(INDIRECT($K$3),9,8)),"",INDEX(INDIRECT($K$3),9,8))</f>
        <v/>
      </c>
    </row>
    <row r="16" spans="1:11" x14ac:dyDescent="0.45">
      <c r="A16" s="6" t="str">
        <f ca="1">IF(ISERROR(INDEX(INDIRECT($K$3),10,1)),"",INDEX(INDIRECT($K$3),10,1))</f>
        <v/>
      </c>
      <c r="B16" s="7" t="str">
        <f ca="1">IF(ISERROR(INDEX(INDIRECT($K$3),10,2)),"",INDEX(INDIRECT($K$3),10,2))</f>
        <v/>
      </c>
      <c r="C16" s="7" t="str">
        <f ca="1">IF(ISERROR(INDEX(INDIRECT($K$3),10,3)),"",INDEX(INDIRECT($K$3),10,3))</f>
        <v/>
      </c>
      <c r="D16" s="7" t="str">
        <f ca="1">IF(ISERROR(INDEX(INDIRECT($K$3),10,4)),"",INDEX(INDIRECT($K$3),10,4))</f>
        <v/>
      </c>
      <c r="E16" s="7" t="str">
        <f ca="1">IF(ISERROR(INDEX(INDIRECT($K$3),10,6)),"",INDEX(INDIRECT($K$3),10,6))</f>
        <v/>
      </c>
      <c r="F16" s="7" t="str">
        <f ca="1">IF(ISERROR(INDEX(INDIRECT($K$3),10,7)),"",INDEX(INDIRECT($K$3),10,7))</f>
        <v/>
      </c>
      <c r="G16" s="7" t="str">
        <f ca="1">IF(ISERROR(INDEX(INDIRECT($K$3),10,8)),"",INDEX(INDIRECT($K$3),10,8))</f>
        <v/>
      </c>
    </row>
    <row r="17" spans="1:8" x14ac:dyDescent="0.45">
      <c r="A17" s="6" t="str">
        <f ca="1">IF(ISERROR(INDEX(INDIRECT($K$3),11,1)),"",INDEX(INDIRECT($K$3),11,1))</f>
        <v/>
      </c>
      <c r="B17" s="7" t="str">
        <f ca="1">IF(ISERROR(INDEX(INDIRECT($K$3),11,2)),"",INDEX(INDIRECT($K$3),11,2))</f>
        <v/>
      </c>
      <c r="C17" s="7" t="str">
        <f ca="1">IF(ISERROR(INDEX(INDIRECT($K$3),11,3)),"",INDEX(INDIRECT($K$3),11,3))</f>
        <v/>
      </c>
      <c r="D17" s="7" t="str">
        <f ca="1">IF(ISERROR(INDEX(INDIRECT($K$3),11,4)),"",INDEX(INDIRECT($K$3),11,4))</f>
        <v/>
      </c>
      <c r="E17" s="7" t="str">
        <f ca="1">IF(ISERROR(INDEX(INDIRECT($K$3),11,6)),"",INDEX(INDIRECT($K$3),11,6))</f>
        <v/>
      </c>
      <c r="F17" s="7" t="str">
        <f ca="1">IF(ISERROR(INDEX(INDIRECT($K$3),11,7)),"",INDEX(INDIRECT($K$3),11,7))</f>
        <v/>
      </c>
      <c r="G17" s="7" t="str">
        <f ca="1">IF(ISERROR(INDEX(INDIRECT($K$3),11,8)),"",INDEX(INDIRECT($K$3),11,8))</f>
        <v/>
      </c>
    </row>
    <row r="18" spans="1:8" x14ac:dyDescent="0.45">
      <c r="A18" s="6" t="str">
        <f ca="1">IF(ISERROR(INDEX(INDIRECT($K$3),12,1)),"",INDEX(INDIRECT($K$3),12,1))</f>
        <v/>
      </c>
      <c r="B18" s="7" t="str">
        <f ca="1">IF(ISERROR(INDEX(INDIRECT($K$3),12,2)),"",INDEX(INDIRECT($K$3),12,2))</f>
        <v/>
      </c>
      <c r="C18" s="7" t="str">
        <f ca="1">IF(ISERROR(INDEX(INDIRECT($K$3),12,3)),"",INDEX(INDIRECT($K$3),12,3))</f>
        <v/>
      </c>
      <c r="D18" s="7" t="str">
        <f ca="1">IF(ISERROR(INDEX(INDIRECT($K$3),12,4)),"",INDEX(INDIRECT($K$3),12,4))</f>
        <v/>
      </c>
      <c r="E18" s="7" t="str">
        <f ca="1">IF(ISERROR(INDEX(INDIRECT($K$3),12,6)),"",INDEX(INDIRECT($K$3),12,6))</f>
        <v/>
      </c>
      <c r="F18" s="7" t="str">
        <f ca="1">IF(ISERROR(INDEX(INDIRECT($K$3),12,7)),"",INDEX(INDIRECT($K$3),12,7))</f>
        <v/>
      </c>
      <c r="G18" s="7" t="str">
        <f ca="1">IF(ISERROR(INDEX(INDIRECT($K$3),12,8)),"",INDEX(INDIRECT($K$3),12,8))</f>
        <v/>
      </c>
    </row>
    <row r="19" spans="1:8" x14ac:dyDescent="0.45">
      <c r="A19" s="6" t="str">
        <f ca="1">IF(ISERROR(INDEX(INDIRECT($K$3),13,1)),"",INDEX(INDIRECT($K$3),13,1))</f>
        <v/>
      </c>
      <c r="B19" s="7" t="str">
        <f ca="1">IF(ISERROR(INDEX(INDIRECT($K$3),13,2)),"",INDEX(INDIRECT($K$3),13,2))</f>
        <v/>
      </c>
      <c r="C19" s="7" t="str">
        <f ca="1">IF(ISERROR(INDEX(INDIRECT($K$3),13,3)),"",INDEX(INDIRECT($K$3),13,3))</f>
        <v/>
      </c>
      <c r="D19" s="7" t="str">
        <f ca="1">IF(ISERROR(INDEX(INDIRECT($K$3),13,4)),"",INDEX(INDIRECT($K$3),13,4))</f>
        <v/>
      </c>
      <c r="E19" s="7" t="str">
        <f ca="1">IF(ISERROR(INDEX(INDIRECT($K$3),13,6)),"",INDEX(INDIRECT($K$3),13,6))</f>
        <v/>
      </c>
      <c r="F19" s="7" t="str">
        <f ca="1">IF(ISERROR(INDEX(INDIRECT($K$3),13,7)),"",INDEX(INDIRECT($K$3),13,7))</f>
        <v/>
      </c>
      <c r="G19" s="7" t="str">
        <f ca="1">IF(ISERROR(INDEX(INDIRECT($K$3),13,8)),"",INDEX(INDIRECT($K$3),13,8))</f>
        <v/>
      </c>
    </row>
    <row r="20" spans="1:8" x14ac:dyDescent="0.45">
      <c r="A20" s="6" t="str">
        <f ca="1">IF(ISERROR(INDEX(INDIRECT($K$3),14,1)),"",INDEX(INDIRECT($K$3),14,1))</f>
        <v/>
      </c>
      <c r="B20" s="7" t="str">
        <f ca="1">IF(ISERROR(INDEX(INDIRECT($K$3),14,2)),"",INDEX(INDIRECT($K$3),14,2))</f>
        <v/>
      </c>
      <c r="C20" s="7" t="str">
        <f ca="1">IF(ISERROR(INDEX(INDIRECT($K$3),14,3)),"",INDEX(INDIRECT($K$3),14,3))</f>
        <v/>
      </c>
      <c r="D20" s="7" t="str">
        <f ca="1">IF(ISERROR(INDEX(INDIRECT($K$3),14,4)),"",INDEX(INDIRECT($K$3),14,4))</f>
        <v/>
      </c>
      <c r="E20" s="7" t="str">
        <f ca="1">IF(ISERROR(INDEX(INDIRECT($K$3),14,6)),"",INDEX(INDIRECT($K$3),14,6))</f>
        <v/>
      </c>
      <c r="F20" s="7" t="str">
        <f ca="1">IF(ISERROR(INDEX(INDIRECT($K$3),14,7)),"",INDEX(INDIRECT($K$3),14,7))</f>
        <v/>
      </c>
      <c r="G20" s="7" t="str">
        <f ca="1">IF(ISERROR(INDEX(INDIRECT($K$3),14,8)),"",INDEX(INDIRECT($K$3),14,8))</f>
        <v/>
      </c>
    </row>
    <row r="21" spans="1:8" x14ac:dyDescent="0.45">
      <c r="A21" s="6" t="str">
        <f ca="1">IF(ISERROR(INDEX(INDIRECT($K$3),15,1)),"",INDEX(INDIRECT($K$3),15,1))</f>
        <v/>
      </c>
      <c r="B21" s="7" t="str">
        <f ca="1">IF(ISERROR(INDEX(INDIRECT($K$3),15,2)),"",INDEX(INDIRECT($K$3),15,2))</f>
        <v/>
      </c>
      <c r="C21" s="7" t="str">
        <f ca="1">IF(ISERROR(INDEX(INDIRECT($K$3),15,3)),"",INDEX(INDIRECT($K$3),15,3))</f>
        <v/>
      </c>
      <c r="D21" s="7" t="str">
        <f ca="1">IF(ISERROR(INDEX(INDIRECT($K$3),15,4)),"",INDEX(INDIRECT($K$3),15,4))</f>
        <v/>
      </c>
      <c r="E21" s="7" t="str">
        <f ca="1">IF(ISERROR(INDEX(INDIRECT($K$3),15,6)),"",INDEX(INDIRECT($K$3),15,6))</f>
        <v/>
      </c>
      <c r="F21" s="7" t="str">
        <f ca="1">IF(ISERROR(INDEX(INDIRECT($K$3),15,7)),"",INDEX(INDIRECT($K$3),15,7))</f>
        <v/>
      </c>
      <c r="G21" s="7" t="str">
        <f ca="1">IF(ISERROR(INDEX(INDIRECT($K$3),15,8)),"",INDEX(INDIRECT($K$3),15,8))</f>
        <v/>
      </c>
    </row>
    <row r="22" spans="1:8" x14ac:dyDescent="0.45">
      <c r="A22" s="6" t="str">
        <f ca="1">IF(ISERROR(INDEX(INDIRECT($K$3),16,1)),"",INDEX(INDIRECT($K$3),16,1))</f>
        <v/>
      </c>
      <c r="B22" s="7" t="str">
        <f ca="1">IF(ISERROR(INDEX(INDIRECT($K$3),16,2)),"",INDEX(INDIRECT($K$3),16,2))</f>
        <v/>
      </c>
      <c r="C22" s="7" t="str">
        <f ca="1">IF(ISERROR(INDEX(INDIRECT($K$3),16,3)),"",INDEX(INDIRECT($K$3),16,3))</f>
        <v/>
      </c>
      <c r="D22" s="7" t="str">
        <f ca="1">IF(ISERROR(INDEX(INDIRECT($K$3),16,4)),"",INDEX(INDIRECT($K$3),16,4))</f>
        <v/>
      </c>
      <c r="E22" s="7" t="str">
        <f ca="1">IF(ISERROR(INDEX(INDIRECT($K$3),16,6)),"",INDEX(INDIRECT($K$3),16,6))</f>
        <v/>
      </c>
      <c r="F22" s="7" t="str">
        <f ca="1">IF(ISERROR(INDEX(INDIRECT($K$3),16,7)),"",INDEX(INDIRECT($K$3),16,7))</f>
        <v/>
      </c>
      <c r="G22" s="7" t="str">
        <f ca="1">IF(ISERROR(INDEX(INDIRECT($K$3),16,8)),"",INDEX(INDIRECT($K$3),16,8))</f>
        <v/>
      </c>
    </row>
    <row r="23" spans="1:8" x14ac:dyDescent="0.45">
      <c r="A23" s="6" t="str">
        <f ca="1">IF(ISERROR(INDEX(INDIRECT($K$3),17,1)),"",INDEX(INDIRECT($K$3),17,1))</f>
        <v/>
      </c>
      <c r="B23" s="7" t="str">
        <f ca="1">IF(ISERROR(INDEX(INDIRECT($K$3),17,2)),"",INDEX(INDIRECT($K$3),17,2))</f>
        <v/>
      </c>
      <c r="C23" s="7" t="str">
        <f ca="1">IF(ISERROR(INDEX(INDIRECT($K$3),17,3)),"",INDEX(INDIRECT($K$3),17,3))</f>
        <v/>
      </c>
      <c r="D23" s="7" t="str">
        <f ca="1">IF(ISERROR(INDEX(INDIRECT($K$3),17,4)),"",INDEX(INDIRECT($K$3),17,4))</f>
        <v/>
      </c>
      <c r="E23" s="7" t="str">
        <f ca="1">IF(ISERROR(INDEX(INDIRECT($K$3),17,6)),"",INDEX(INDIRECT($K$3),17,6))</f>
        <v/>
      </c>
      <c r="F23" s="7" t="str">
        <f ca="1">IF(ISERROR(INDEX(INDIRECT($K$3),17,7)),"",INDEX(INDIRECT($K$3),17,7))</f>
        <v/>
      </c>
      <c r="G23" s="7" t="str">
        <f ca="1">IF(ISERROR(INDEX(INDIRECT($K$3),17,8)),"",INDEX(INDIRECT($K$3),17,8))</f>
        <v/>
      </c>
    </row>
    <row r="24" spans="1:8" x14ac:dyDescent="0.45">
      <c r="A24" s="6" t="str">
        <f ca="1">IF(ISERROR(INDEX(INDIRECT($K$3),18,1)),"",INDEX(INDIRECT($K$3),18,1))</f>
        <v/>
      </c>
      <c r="B24" s="7" t="str">
        <f ca="1">IF(ISERROR(INDEX(INDIRECT($K$3),18,2)),"",INDEX(INDIRECT($K$3),18,2))</f>
        <v/>
      </c>
      <c r="C24" s="7" t="str">
        <f ca="1">IF(ISERROR(INDEX(INDIRECT($K$3),18,3)),"",INDEX(INDIRECT($K$3),18,3))</f>
        <v/>
      </c>
      <c r="D24" s="7" t="str">
        <f ca="1">IF(ISERROR(INDEX(INDIRECT($K$3),18,4)),"",INDEX(INDIRECT($K$3),18,4))</f>
        <v/>
      </c>
      <c r="E24" s="7" t="str">
        <f ca="1">IF(ISERROR(INDEX(INDIRECT($K$3),18,6)),"",INDEX(INDIRECT($K$3),18,6))</f>
        <v/>
      </c>
      <c r="F24" s="7" t="str">
        <f ca="1">IF(ISERROR(INDEX(INDIRECT($K$3),18,7)),"",INDEX(INDIRECT($K$3),18,7))</f>
        <v/>
      </c>
      <c r="G24" s="7" t="str">
        <f ca="1">IF(ISERROR(INDEX(INDIRECT($K$3),18,8)),"",INDEX(INDIRECT($K$3),18,8))</f>
        <v/>
      </c>
    </row>
    <row r="25" spans="1:8" x14ac:dyDescent="0.45">
      <c r="A25" s="6" t="str">
        <f ca="1">IF(ISERROR(INDEX(INDIRECT($K$3),19,1)),"",INDEX(INDIRECT($K$3),19,1))</f>
        <v/>
      </c>
      <c r="B25" s="7" t="str">
        <f ca="1">IF(ISERROR(INDEX(INDIRECT($K$3),19,2)),"",INDEX(INDIRECT($K$3),19,2))</f>
        <v/>
      </c>
      <c r="C25" s="7" t="str">
        <f ca="1">IF(ISERROR(INDEX(INDIRECT($K$3),19,3)),"",INDEX(INDIRECT($K$3),19,3))</f>
        <v/>
      </c>
      <c r="D25" s="7" t="str">
        <f ca="1">IF(ISERROR(INDEX(INDIRECT($K$3),19,4)),"",INDEX(INDIRECT($K$3),19,4))</f>
        <v/>
      </c>
      <c r="E25" s="7" t="str">
        <f ca="1">IF(ISERROR(INDEX(INDIRECT($K$3),19,6)),"",INDEX(INDIRECT($K$3),19,6))</f>
        <v/>
      </c>
      <c r="F25" s="7" t="str">
        <f ca="1">IF(ISERROR(INDEX(INDIRECT($K$3),19,7)),"",INDEX(INDIRECT($K$3),19,7))</f>
        <v/>
      </c>
      <c r="G25" s="7" t="str">
        <f ca="1">IF(ISERROR(INDEX(INDIRECT($K$3),19,8)),"",INDEX(INDIRECT($K$3),19,8))</f>
        <v/>
      </c>
    </row>
    <row r="26" spans="1:8" x14ac:dyDescent="0.45">
      <c r="A26" s="6" t="str">
        <f ca="1">IF(ISERROR(INDEX(INDIRECT($K$3),20,1)),"",INDEX(INDIRECT($K$3),20,1))</f>
        <v/>
      </c>
      <c r="B26" s="7" t="str">
        <f ca="1">IF(ISERROR(INDEX(INDIRECT($K$3),20,2)),"",INDEX(INDIRECT($K$3),20,2))</f>
        <v/>
      </c>
      <c r="C26" s="7" t="str">
        <f ca="1">IF(ISERROR(INDEX(INDIRECT($K$3),20,3)),"",INDEX(INDIRECT($K$3),20,3))</f>
        <v/>
      </c>
      <c r="D26" s="7" t="str">
        <f ca="1">IF(ISERROR(INDEX(INDIRECT($K$3),20,4)),"",INDEX(INDIRECT($K$3),20,4))</f>
        <v/>
      </c>
      <c r="E26" s="7" t="str">
        <f ca="1">IF(ISERROR(INDEX(INDIRECT($K$3),20,6)),"",INDEX(INDIRECT($K$3),20,6))</f>
        <v/>
      </c>
      <c r="F26" s="7" t="str">
        <f ca="1">IF(ISERROR(INDEX(INDIRECT($K$3),20,7)),"",INDEX(INDIRECT($K$3),20,7))</f>
        <v/>
      </c>
      <c r="G26" s="7" t="str">
        <f ca="1">IF(ISERROR(INDEX(INDIRECT($K$3),20,8)),"",INDEX(INDIRECT($K$3),20,8))</f>
        <v/>
      </c>
    </row>
    <row r="27" spans="1:8" x14ac:dyDescent="0.45">
      <c r="A27" s="6" t="str">
        <f ca="1">IF(ISERROR(INDEX(INDIRECT($K$3),21,1)),"",INDEX(INDIRECT($K$3),21,1))</f>
        <v/>
      </c>
      <c r="B27" s="7" t="str">
        <f ca="1">IF(ISERROR(INDEX(INDIRECT($K$3),21,2)),"",INDEX(INDIRECT($K$3),21,2))</f>
        <v/>
      </c>
      <c r="C27" s="7" t="str">
        <f ca="1">IF(ISERROR(INDEX(INDIRECT($K$3),21,3)),"",INDEX(INDIRECT($K$3),21,3))</f>
        <v/>
      </c>
      <c r="D27" s="7" t="str">
        <f ca="1">IF(ISERROR(INDEX(INDIRECT($K$3),21,4)),"",INDEX(INDIRECT($K$3),21,4))</f>
        <v/>
      </c>
      <c r="E27" s="7" t="str">
        <f ca="1">IF(ISERROR(INDEX(INDIRECT($K$3),21,6)),"",INDEX(INDIRECT($K$3),21,6))</f>
        <v/>
      </c>
      <c r="F27" s="7" t="str">
        <f ca="1">IF(ISERROR(INDEX(INDIRECT($K$3),21,7)),"",INDEX(INDIRECT($K$3),21,7))</f>
        <v/>
      </c>
      <c r="G27" s="7" t="str">
        <f ca="1">IF(ISERROR(INDEX(INDIRECT($K$3),21,8)),"",INDEX(INDIRECT($K$3),21,8))</f>
        <v/>
      </c>
    </row>
    <row r="28" spans="1:8" x14ac:dyDescent="0.45">
      <c r="A28" s="6" t="str">
        <f ca="1">IF(ISERROR(INDEX(INDIRECT($K$3),22,1)),"",INDEX(INDIRECT($K$3),22,1))</f>
        <v/>
      </c>
      <c r="B28" s="7" t="str">
        <f ca="1">IF(ISERROR(INDEX(INDIRECT($K$3),22,2)),"",INDEX(INDIRECT($K$3),22,2))</f>
        <v/>
      </c>
      <c r="C28" s="7" t="str">
        <f ca="1">IF(ISERROR(INDEX(INDIRECT($K$3),22,3)),"",INDEX(INDIRECT($K$3),22,3))</f>
        <v/>
      </c>
      <c r="D28" s="7" t="str">
        <f ca="1">IF(ISERROR(INDEX(INDIRECT($K$3),22,4)),"",INDEX(INDIRECT($K$3),22,4))</f>
        <v/>
      </c>
      <c r="E28" s="7" t="str">
        <f ca="1">IF(ISERROR(INDEX(INDIRECT($K$3),22,5)),"",INDEX(INDIRECT($K$3),22,5))</f>
        <v/>
      </c>
      <c r="F28" s="7" t="str">
        <f ca="1">IF(ISERROR(INDEX(INDIRECT($K$3),22,6)),"",INDEX(INDIRECT($K$3),22,6))</f>
        <v/>
      </c>
      <c r="G28" s="7" t="str">
        <f ca="1">IF(ISERROR(INDEX(INDIRECT($K$3),22,7)),"",INDEX(INDIRECT($K$3),22,7))</f>
        <v/>
      </c>
      <c r="H28" s="7" t="str">
        <f ca="1">IF(ISERROR(INDEX(INDIRECT($K$3),22,8)),"",INDEX(INDIRECT($K$3),22,8))</f>
        <v/>
      </c>
    </row>
    <row r="29" spans="1:8" x14ac:dyDescent="0.45">
      <c r="A29" s="6" t="str">
        <f ca="1">IF(ISERROR(INDEX(INDIRECT($K$3),23,1)),"",INDEX(INDIRECT($K$3),23,1))</f>
        <v/>
      </c>
      <c r="B29" s="7" t="str">
        <f ca="1">IF(ISERROR(INDEX(INDIRECT($K$3),23,2)),"",INDEX(INDIRECT($K$3),23,2))</f>
        <v/>
      </c>
      <c r="C29" s="7" t="str">
        <f ca="1">IF(ISERROR(INDEX(INDIRECT($K$3),23,3)),"",INDEX(INDIRECT($K$3),23,3))</f>
        <v/>
      </c>
      <c r="D29" s="7" t="str">
        <f ca="1">IF(ISERROR(INDEX(INDIRECT($K$3),23,4)),"",INDEX(INDIRECT($K$3),23,4))</f>
        <v/>
      </c>
      <c r="E29" s="7" t="str">
        <f ca="1">IF(ISERROR(INDEX(INDIRECT($K$3),23,5)),"",INDEX(INDIRECT($K$3),23,5))</f>
        <v/>
      </c>
      <c r="F29" s="7" t="str">
        <f ca="1">IF(ISERROR(INDEX(INDIRECT($K$3),23,6)),"",INDEX(INDIRECT($K$3),23,6))</f>
        <v/>
      </c>
      <c r="G29" s="7" t="str">
        <f ca="1">IF(ISERROR(INDEX(INDIRECT($K$3),23,7)),"",INDEX(INDIRECT($K$3),23,7))</f>
        <v/>
      </c>
      <c r="H29" s="7" t="str">
        <f ca="1">IF(ISERROR(INDEX(INDIRECT($K$3),23,8)),"",INDEX(INDIRECT($K$3),23,8))</f>
        <v/>
      </c>
    </row>
    <row r="30" spans="1:8" x14ac:dyDescent="0.45">
      <c r="A30" s="6" t="str">
        <f ca="1">IF(ISERROR(INDEX(INDIRECT($K$3),24,1)),"",INDEX(INDIRECT($K$3),24,1))</f>
        <v/>
      </c>
      <c r="B30" s="7" t="str">
        <f ca="1">IF(ISERROR(INDEX(INDIRECT($K$3),24,2)),"",INDEX(INDIRECT($K$3),24,2))</f>
        <v/>
      </c>
      <c r="C30" s="7" t="str">
        <f ca="1">IF(ISERROR(INDEX(INDIRECT($K$3),24,3)),"",INDEX(INDIRECT($K$3),24,3))</f>
        <v/>
      </c>
      <c r="D30" s="7" t="str">
        <f ca="1">IF(ISERROR(INDEX(INDIRECT($K$3),24,4)),"",INDEX(INDIRECT($K$3),24,4))</f>
        <v/>
      </c>
      <c r="E30" s="7" t="str">
        <f ca="1">IF(ISERROR(INDEX(INDIRECT($K$3),24,5)),"",INDEX(INDIRECT($K$3),24,5))</f>
        <v/>
      </c>
      <c r="F30" s="7" t="str">
        <f ca="1">IF(ISERROR(INDEX(INDIRECT($K$3),24,6)),"",INDEX(INDIRECT($K$3),24,6))</f>
        <v/>
      </c>
      <c r="G30" s="7" t="str">
        <f ca="1">IF(ISERROR(INDEX(INDIRECT($K$3),24,7)),"",INDEX(INDIRECT($K$3),24,7))</f>
        <v/>
      </c>
      <c r="H30" s="7" t="str">
        <f ca="1">IF(ISERROR(INDEX(INDIRECT($K$3),24,8)),"",INDEX(INDIRECT($K$3),24,8))</f>
        <v/>
      </c>
    </row>
    <row r="31" spans="1:8" x14ac:dyDescent="0.45">
      <c r="A31" s="6" t="str">
        <f ca="1">IF(ISERROR(INDEX(INDIRECT($K$3),25,1)),"",INDEX(INDIRECT($K$3),25,1))</f>
        <v/>
      </c>
      <c r="B31" s="7" t="str">
        <f ca="1">IF(ISERROR(INDEX(INDIRECT($K$3),25,2)),"",INDEX(INDIRECT($K$3),25,2))</f>
        <v/>
      </c>
      <c r="C31" s="7" t="str">
        <f ca="1">IF(ISERROR(INDEX(INDIRECT($K$3),25,3)),"",INDEX(INDIRECT($K$3),25,3))</f>
        <v/>
      </c>
      <c r="D31" s="7" t="str">
        <f ca="1">IF(ISERROR(INDEX(INDIRECT($K$3),25,4)),"",INDEX(INDIRECT($K$3),25,4))</f>
        <v/>
      </c>
      <c r="E31" s="7" t="str">
        <f ca="1">IF(ISERROR(INDEX(INDIRECT($K$3),25,5)),"",INDEX(INDIRECT($K$3),25,5))</f>
        <v/>
      </c>
      <c r="F31" s="7" t="str">
        <f ca="1">IF(ISERROR(INDEX(INDIRECT($K$3),25,6)),"",INDEX(INDIRECT($K$3),25,6))</f>
        <v/>
      </c>
      <c r="G31" s="7" t="str">
        <f ca="1">IF(ISERROR(INDEX(INDIRECT($K$3),25,7)),"",INDEX(INDIRECT($K$3),25,7))</f>
        <v/>
      </c>
      <c r="H31" s="7" t="str">
        <f ca="1">IF(ISERROR(INDEX(INDIRECT($K$3),25,8)),"",INDEX(INDIRECT($K$3),25,8))</f>
        <v/>
      </c>
    </row>
    <row r="32" spans="1:8" x14ac:dyDescent="0.45">
      <c r="A32" s="6" t="str">
        <f ca="1">IF(ISERROR(INDEX(INDIRECT($K$3),26,1)),"",INDEX(INDIRECT($K$3),26,1))</f>
        <v/>
      </c>
      <c r="B32" s="7" t="str">
        <f ca="1">IF(ISERROR(INDEX(INDIRECT($K$3),26,2)),"",INDEX(INDIRECT($K$3),26,2))</f>
        <v/>
      </c>
      <c r="C32" s="7" t="str">
        <f ca="1">IF(ISERROR(INDEX(INDIRECT($K$3),26,3)),"",INDEX(INDIRECT($K$3),26,3))</f>
        <v/>
      </c>
      <c r="D32" s="7" t="str">
        <f ca="1">IF(ISERROR(INDEX(INDIRECT($K$3),26,4)),"",INDEX(INDIRECT($K$3),26,4))</f>
        <v/>
      </c>
      <c r="E32" s="7" t="str">
        <f ca="1">IF(ISERROR(INDEX(INDIRECT($K$3),26,5)),"",INDEX(INDIRECT($K$3),26,5))</f>
        <v/>
      </c>
      <c r="F32" s="7" t="str">
        <f ca="1">IF(ISERROR(INDEX(INDIRECT($K$3),26,6)),"",INDEX(INDIRECT($K$3),26,6))</f>
        <v/>
      </c>
      <c r="G32" s="7" t="str">
        <f ca="1">IF(ISERROR(INDEX(INDIRECT($K$3),26,7)),"",INDEX(INDIRECT($K$3),26,7))</f>
        <v/>
      </c>
      <c r="H32" s="7" t="str">
        <f ca="1">IF(ISERROR(INDEX(INDIRECT($K$3),26,8)),"",INDEX(INDIRECT($K$3),26,8))</f>
        <v/>
      </c>
    </row>
    <row r="33" spans="1:8" x14ac:dyDescent="0.45">
      <c r="A33" s="6" t="str">
        <f ca="1">IF(ISERROR(INDEX(INDIRECT($K$3),27,1)),"",INDEX(INDIRECT($K$3),27,1))</f>
        <v/>
      </c>
      <c r="B33" s="7" t="str">
        <f ca="1">IF(ISERROR(INDEX(INDIRECT($K$3),27,2)),"",INDEX(INDIRECT($K$3),27,2))</f>
        <v/>
      </c>
      <c r="C33" s="7" t="str">
        <f ca="1">IF(ISERROR(INDEX(INDIRECT($K$3),27,3)),"",INDEX(INDIRECT($K$3),27,3))</f>
        <v/>
      </c>
      <c r="D33" s="7" t="str">
        <f ca="1">IF(ISERROR(INDEX(INDIRECT($K$3),27,4)),"",INDEX(INDIRECT($K$3),27,4))</f>
        <v/>
      </c>
      <c r="E33" s="7" t="str">
        <f ca="1">IF(ISERROR(INDEX(INDIRECT($K$3),27,5)),"",INDEX(INDIRECT($K$3),27,5))</f>
        <v/>
      </c>
      <c r="F33" s="7" t="str">
        <f ca="1">IF(ISERROR(INDEX(INDIRECT($K$3),27,6)),"",INDEX(INDIRECT($K$3),27,6))</f>
        <v/>
      </c>
      <c r="G33" s="7" t="str">
        <f ca="1">IF(ISERROR(INDEX(INDIRECT($K$3),27,7)),"",INDEX(INDIRECT($K$3),27,7))</f>
        <v/>
      </c>
      <c r="H33" s="7" t="str">
        <f ca="1">IF(ISERROR(INDEX(INDIRECT($K$3),27,8)),"",INDEX(INDIRECT($K$3),27,8))</f>
        <v/>
      </c>
    </row>
    <row r="34" spans="1:8" x14ac:dyDescent="0.45">
      <c r="A34" s="6" t="str">
        <f ca="1">IF(ISERROR(INDEX(INDIRECT($K$3),28,1)),"",INDEX(INDIRECT($K$3),28,1))</f>
        <v/>
      </c>
      <c r="B34" s="7" t="str">
        <f ca="1">IF(ISERROR(INDEX(INDIRECT($K$3),28,2)),"",INDEX(INDIRECT($K$3),28,2))</f>
        <v/>
      </c>
      <c r="C34" s="7" t="str">
        <f ca="1">IF(ISERROR(INDEX(INDIRECT($K$3),28,3)),"",INDEX(INDIRECT($K$3),28,3))</f>
        <v/>
      </c>
      <c r="D34" s="7" t="str">
        <f ca="1">IF(ISERROR(INDEX(INDIRECT($K$3),28,4)),"",INDEX(INDIRECT($K$3),28,4))</f>
        <v/>
      </c>
      <c r="E34" s="7" t="str">
        <f ca="1">IF(ISERROR(INDEX(INDIRECT($K$3),28,5)),"",INDEX(INDIRECT($K$3),28,5))</f>
        <v/>
      </c>
      <c r="F34" s="7" t="str">
        <f ca="1">IF(ISERROR(INDEX(INDIRECT($K$3),28,6)),"",INDEX(INDIRECT($K$3),28,6))</f>
        <v/>
      </c>
      <c r="G34" s="7" t="str">
        <f ca="1">IF(ISERROR(INDEX(INDIRECT($K$3),28,7)),"",INDEX(INDIRECT($K$3),28,7))</f>
        <v/>
      </c>
      <c r="H34" s="7" t="str">
        <f ca="1">IF(ISERROR(INDEX(INDIRECT($K$3),28,8)),"",INDEX(INDIRECT($K$3),28,8))</f>
        <v/>
      </c>
    </row>
    <row r="35" spans="1:8" x14ac:dyDescent="0.45">
      <c r="A35" s="6" t="str">
        <f ca="1">IF(ISERROR(INDEX(INDIRECT($K$3),29,1)),"",INDEX(INDIRECT($K$3),29,1))</f>
        <v/>
      </c>
      <c r="B35" s="7" t="str">
        <f ca="1">IF(ISERROR(INDEX(INDIRECT($K$3),29,2)),"",INDEX(INDIRECT($K$3),29,2))</f>
        <v/>
      </c>
      <c r="C35" s="7" t="str">
        <f ca="1">IF(ISERROR(INDEX(INDIRECT($K$3),29,3)),"",INDEX(INDIRECT($K$3),29,3))</f>
        <v/>
      </c>
      <c r="D35" s="7" t="str">
        <f ca="1">IF(ISERROR(INDEX(INDIRECT($K$3),29,4)),"",INDEX(INDIRECT($K$3),29,4))</f>
        <v/>
      </c>
      <c r="E35" s="7" t="str">
        <f ca="1">IF(ISERROR(INDEX(INDIRECT($K$3),29,5)),"",INDEX(INDIRECT($K$3),29,5))</f>
        <v/>
      </c>
      <c r="F35" s="7" t="str">
        <f ca="1">IF(ISERROR(INDEX(INDIRECT($K$3),29,6)),"",INDEX(INDIRECT($K$3),29,6))</f>
        <v/>
      </c>
      <c r="G35" s="7" t="str">
        <f ca="1">IF(ISERROR(INDEX(INDIRECT($K$3),29,7)),"",INDEX(INDIRECT($K$3),29,7))</f>
        <v/>
      </c>
      <c r="H35" s="7" t="str">
        <f ca="1">IF(ISERROR(INDEX(INDIRECT($K$3),29,8)),"",INDEX(INDIRECT($K$3),29,8))</f>
        <v/>
      </c>
    </row>
    <row r="36" spans="1:8" x14ac:dyDescent="0.45">
      <c r="A36" s="6" t="str">
        <f ca="1">IF(ISERROR(INDEX(INDIRECT($K$3),30,1)),"",INDEX(INDIRECT($K$3),30,1))</f>
        <v/>
      </c>
      <c r="B36" s="7" t="str">
        <f ca="1">IF(ISERROR(INDEX(INDIRECT($K$3),30,2)),"",INDEX(INDIRECT($K$3),30,2))</f>
        <v/>
      </c>
      <c r="C36" s="7" t="str">
        <f ca="1">IF(ISERROR(INDEX(INDIRECT($K$3),30,3)),"",INDEX(INDIRECT($K$3),30,3))</f>
        <v/>
      </c>
      <c r="D36" s="7" t="str">
        <f ca="1">IF(ISERROR(INDEX(INDIRECT($K$3),30,4)),"",INDEX(INDIRECT($K$3),30,4))</f>
        <v/>
      </c>
      <c r="E36" s="7" t="str">
        <f ca="1">IF(ISERROR(INDEX(INDIRECT($K$3),30,5)),"",INDEX(INDIRECT($K$3),30,5))</f>
        <v/>
      </c>
      <c r="F36" s="7" t="str">
        <f ca="1">IF(ISERROR(INDEX(INDIRECT($K$3),30,6)),"",INDEX(INDIRECT($K$3),30,6))</f>
        <v/>
      </c>
      <c r="G36" s="7" t="str">
        <f ca="1">IF(ISERROR(INDEX(INDIRECT($K$3),30,7)),"",INDEX(INDIRECT($K$3),30,7))</f>
        <v/>
      </c>
      <c r="H36" s="7" t="str">
        <f ca="1">IF(ISERROR(INDEX(INDIRECT($K$3),30,8)),"",INDEX(INDIRECT($K$3),30,8))</f>
        <v/>
      </c>
    </row>
  </sheetData>
  <sheetProtection selectLockedCells="1"/>
  <mergeCells count="7">
    <mergeCell ref="B7:G7"/>
    <mergeCell ref="A5:F5"/>
    <mergeCell ref="C2:D2"/>
    <mergeCell ref="C4:D4"/>
    <mergeCell ref="C3:D3"/>
    <mergeCell ref="A6:C6"/>
    <mergeCell ref="D6:G6"/>
  </mergeCells>
  <phoneticPr fontId="3"/>
  <conditionalFormatting sqref="A9:G27 A28:H36">
    <cfRule type="expression" dxfId="1" priority="2">
      <formula>A9&lt;&gt;""</formula>
    </cfRule>
  </conditionalFormatting>
  <conditionalFormatting sqref="G8">
    <cfRule type="expression" dxfId="0" priority="1">
      <formula>G8&lt;&gt;""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1</xdr:row>
                    <xdr:rowOff>83820</xdr:rowOff>
                  </from>
                  <to>
                    <xdr:col>1</xdr:col>
                    <xdr:colOff>38100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1</xdr:row>
                    <xdr:rowOff>83820</xdr:rowOff>
                  </from>
                  <to>
                    <xdr:col>1</xdr:col>
                    <xdr:colOff>3040380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1</xdr:row>
                    <xdr:rowOff>106680</xdr:rowOff>
                  </from>
                  <to>
                    <xdr:col>4</xdr:col>
                    <xdr:colOff>182880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2</xdr:row>
                    <xdr:rowOff>99060</xdr:rowOff>
                  </from>
                  <to>
                    <xdr:col>1</xdr:col>
                    <xdr:colOff>38100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locked="0" defaultSize="0" autoFill="0" autoLine="0" autoPict="0" altText="">
                <anchor moveWithCells="1">
                  <from>
                    <xdr:col>1</xdr:col>
                    <xdr:colOff>2819400</xdr:colOff>
                    <xdr:row>2</xdr:row>
                    <xdr:rowOff>99060</xdr:rowOff>
                  </from>
                  <to>
                    <xdr:col>1</xdr:col>
                    <xdr:colOff>3002280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2</xdr:row>
                    <xdr:rowOff>83820</xdr:rowOff>
                  </from>
                  <to>
                    <xdr:col>4</xdr:col>
                    <xdr:colOff>182880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3</xdr:row>
                    <xdr:rowOff>83820</xdr:rowOff>
                  </from>
                  <to>
                    <xdr:col>1</xdr:col>
                    <xdr:colOff>38100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3</xdr:row>
                    <xdr:rowOff>83820</xdr:rowOff>
                  </from>
                  <to>
                    <xdr:col>1</xdr:col>
                    <xdr:colOff>3040380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3</xdr:row>
                    <xdr:rowOff>83820</xdr:rowOff>
                  </from>
                  <to>
                    <xdr:col>4</xdr:col>
                    <xdr:colOff>182880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5</xdr:col>
                    <xdr:colOff>464820</xdr:colOff>
                    <xdr:row>0</xdr:row>
                    <xdr:rowOff>0</xdr:rowOff>
                  </from>
                  <to>
                    <xdr:col>5</xdr:col>
                    <xdr:colOff>845820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8B9-242C-4F66-AB2D-CE9438FE093C}">
  <dimension ref="B1:I66"/>
  <sheetViews>
    <sheetView workbookViewId="0">
      <selection activeCell="H11" sqref="H11"/>
    </sheetView>
  </sheetViews>
  <sheetFormatPr defaultRowHeight="18" x14ac:dyDescent="0.45"/>
  <cols>
    <col min="1" max="1" width="2" customWidth="1"/>
    <col min="3" max="3" width="11.8984375" bestFit="1" customWidth="1"/>
    <col min="4" max="4" width="24.09765625" customWidth="1"/>
  </cols>
  <sheetData>
    <row r="1" spans="2:9" ht="6.75" customHeight="1" thickBot="1" x14ac:dyDescent="0.5"/>
    <row r="2" spans="2:9" x14ac:dyDescent="0.45">
      <c r="B2" s="11" t="s">
        <v>288</v>
      </c>
      <c r="C2" s="12" t="s">
        <v>289</v>
      </c>
      <c r="D2" s="12" t="s">
        <v>290</v>
      </c>
      <c r="E2" s="12" t="s">
        <v>291</v>
      </c>
      <c r="F2" s="12" t="s">
        <v>292</v>
      </c>
      <c r="G2" s="13" t="s">
        <v>293</v>
      </c>
      <c r="I2" s="24" t="s">
        <v>267</v>
      </c>
    </row>
    <row r="3" spans="2:9" x14ac:dyDescent="0.45">
      <c r="B3" s="14" t="s">
        <v>294</v>
      </c>
      <c r="C3" s="24">
        <v>4370200380</v>
      </c>
      <c r="D3" s="15" t="s">
        <v>295</v>
      </c>
      <c r="E3" s="41" t="str">
        <f>VLOOKUP($C3,[1]①入所者等情報貼付けシート!$O$1:$R$65536,2,FALSE)</f>
        <v/>
      </c>
      <c r="F3" s="41">
        <f>VLOOKUP($C3,[1]①入所者等情報貼付けシート!$O$1:$R$65536,3,FALSE)</f>
        <v>49</v>
      </c>
      <c r="G3" s="42">
        <f>VLOOKUP($C3,[1]①入所者等情報貼付けシート!$O$1:$R$65536,4,FALSE)</f>
        <v>93</v>
      </c>
      <c r="I3" s="25">
        <v>45930</v>
      </c>
    </row>
    <row r="4" spans="2:9" x14ac:dyDescent="0.45">
      <c r="B4" s="14" t="s">
        <v>294</v>
      </c>
      <c r="C4" s="36">
        <v>4370200356</v>
      </c>
      <c r="D4" s="15" t="s">
        <v>296</v>
      </c>
      <c r="E4" s="41">
        <f>VLOOKUP($C4,[1]①入所者等情報貼付けシート!$O$1:$R$65536,2,FALSE)</f>
        <v>0</v>
      </c>
      <c r="F4" s="41">
        <f>VLOOKUP($C4,[1]①入所者等情報貼付けシート!$O$1:$R$65536,3,FALSE)</f>
        <v>60</v>
      </c>
      <c r="G4" s="42">
        <f>VLOOKUP($C4,[1]①入所者等情報貼付けシート!$O$1:$R$65536,4,FALSE)</f>
        <v>55</v>
      </c>
    </row>
    <row r="5" spans="2:9" x14ac:dyDescent="0.45">
      <c r="B5" s="14" t="s">
        <v>294</v>
      </c>
      <c r="C5" s="24">
        <v>4370200414</v>
      </c>
      <c r="D5" s="15" t="s">
        <v>297</v>
      </c>
      <c r="E5" s="41" t="str">
        <f>VLOOKUP($C5,[1]①入所者等情報貼付けシート!$O$1:$R$65536,2,FALSE)</f>
        <v/>
      </c>
      <c r="F5" s="41">
        <f>VLOOKUP($C5,[1]①入所者等情報貼付けシート!$O$1:$R$65536,3,FALSE)</f>
        <v>48</v>
      </c>
      <c r="G5" s="42">
        <f>VLOOKUP($C5,[1]①入所者等情報貼付けシート!$O$1:$R$65536,4,FALSE)</f>
        <v>67</v>
      </c>
    </row>
    <row r="6" spans="2:9" x14ac:dyDescent="0.45">
      <c r="B6" s="14" t="s">
        <v>294</v>
      </c>
      <c r="C6" s="36">
        <v>4370200406</v>
      </c>
      <c r="D6" s="15" t="s">
        <v>298</v>
      </c>
      <c r="E6" s="41" t="str">
        <f>VLOOKUP($C6,[1]①入所者等情報貼付けシート!$O$1:$R$65536,2,FALSE)</f>
        <v/>
      </c>
      <c r="F6" s="41">
        <f>VLOOKUP($C6,[1]①入所者等情報貼付けシート!$O$1:$R$65536,3,FALSE)</f>
        <v>50</v>
      </c>
      <c r="G6" s="42">
        <f>VLOOKUP($C6,[1]①入所者等情報貼付けシート!$O$1:$R$65536,4,FALSE)</f>
        <v>58</v>
      </c>
    </row>
    <row r="7" spans="2:9" x14ac:dyDescent="0.45">
      <c r="B7" s="14" t="s">
        <v>294</v>
      </c>
      <c r="C7" s="24">
        <v>4370200398</v>
      </c>
      <c r="D7" s="15" t="s">
        <v>299</v>
      </c>
      <c r="E7" s="41" t="str">
        <f>VLOOKUP($C7,[1]①入所者等情報貼付けシート!$O$1:$R$65536,2,FALSE)</f>
        <v/>
      </c>
      <c r="F7" s="41">
        <f>VLOOKUP($C7,[1]①入所者等情報貼付けシート!$O$1:$R$65536,3,FALSE)</f>
        <v>50</v>
      </c>
      <c r="G7" s="42">
        <f>VLOOKUP($C7,[1]①入所者等情報貼付けシート!$O$1:$R$65536,4,FALSE)</f>
        <v>106</v>
      </c>
    </row>
    <row r="8" spans="2:9" x14ac:dyDescent="0.45">
      <c r="B8" s="14" t="s">
        <v>294</v>
      </c>
      <c r="C8" s="24">
        <v>4372900797</v>
      </c>
      <c r="D8" s="15" t="s">
        <v>300</v>
      </c>
      <c r="E8" s="41" t="str">
        <f>VLOOKUP($C8,[1]①入所者等情報貼付けシート!$O$1:$R$65536,2,FALSE)</f>
        <v/>
      </c>
      <c r="F8" s="41">
        <f>VLOOKUP($C8,[1]①入所者等情報貼付けシート!$O$1:$R$65536,3,FALSE)</f>
        <v>49</v>
      </c>
      <c r="G8" s="42">
        <f>VLOOKUP($C8,[1]①入所者等情報貼付けシート!$O$1:$R$65536,4,FALSE)</f>
        <v>15</v>
      </c>
    </row>
    <row r="9" spans="2:9" x14ac:dyDescent="0.45">
      <c r="B9" s="14" t="s">
        <v>294</v>
      </c>
      <c r="C9" s="24">
        <v>4372900334</v>
      </c>
      <c r="D9" s="15" t="s">
        <v>301</v>
      </c>
      <c r="E9" s="41" t="str">
        <f>VLOOKUP($C9,[1]①入所者等情報貼付けシート!$O$1:$R$65536,2,FALSE)</f>
        <v/>
      </c>
      <c r="F9" s="41">
        <f>VLOOKUP($C9,[1]①入所者等情報貼付けシート!$O$1:$R$65536,3,FALSE)</f>
        <v>50</v>
      </c>
      <c r="G9" s="42">
        <f>VLOOKUP($C9,[1]①入所者等情報貼付けシート!$O$1:$R$65536,4,FALSE)</f>
        <v>78</v>
      </c>
    </row>
    <row r="10" spans="2:9" x14ac:dyDescent="0.45">
      <c r="B10" s="14" t="s">
        <v>294</v>
      </c>
      <c r="C10" s="24">
        <v>4370202634</v>
      </c>
      <c r="D10" s="15" t="s">
        <v>302</v>
      </c>
      <c r="E10" s="41" t="e">
        <f>VLOOKUP($C10,[1]①入所者等情報貼付けシート!$O$1:$R$65536,2,FALSE)</f>
        <v>#N/A</v>
      </c>
      <c r="F10" s="41" t="e">
        <f>VLOOKUP($C10,[1]①入所者等情報貼付けシート!$O$1:$R$65536,3,FALSE)</f>
        <v>#N/A</v>
      </c>
      <c r="G10" s="42" t="e">
        <f>VLOOKUP($C10,[1]①入所者等情報貼付けシート!$O$1:$R$65536,4,FALSE)</f>
        <v>#N/A</v>
      </c>
    </row>
    <row r="11" spans="2:9" x14ac:dyDescent="0.45">
      <c r="B11" s="14" t="s">
        <v>294</v>
      </c>
      <c r="C11" s="24">
        <v>4372900664</v>
      </c>
      <c r="D11" s="15" t="s">
        <v>302</v>
      </c>
      <c r="E11" s="41" t="str">
        <f>VLOOKUP($C11,[1]①入所者等情報貼付けシート!$O$1:$R$65536,2,FALSE)</f>
        <v/>
      </c>
      <c r="F11" s="41">
        <f>VLOOKUP($C11,[1]①入所者等情報貼付けシート!$O$1:$R$65536,3,FALSE)</f>
        <v>80</v>
      </c>
      <c r="G11" s="42">
        <f>VLOOKUP($C11,[1]①入所者等情報貼付けシート!$O$1:$R$65536,4,FALSE)</f>
        <v>97</v>
      </c>
    </row>
    <row r="12" spans="2:9" x14ac:dyDescent="0.45">
      <c r="B12" s="14" t="s">
        <v>294</v>
      </c>
      <c r="C12" s="24">
        <v>4372900367</v>
      </c>
      <c r="D12" s="15" t="s">
        <v>303</v>
      </c>
      <c r="E12" s="41" t="str">
        <f>VLOOKUP($C12,[1]①入所者等情報貼付けシート!$O$1:$R$65536,2,FALSE)</f>
        <v/>
      </c>
      <c r="F12" s="41">
        <f>VLOOKUP($C12,[1]①入所者等情報貼付けシート!$O$1:$R$65536,3,FALSE)</f>
        <v>30</v>
      </c>
      <c r="G12" s="42">
        <f>VLOOKUP($C12,[1]①入所者等情報貼付けシート!$O$1:$R$65536,4,FALSE)</f>
        <v>53</v>
      </c>
    </row>
    <row r="13" spans="2:9" x14ac:dyDescent="0.45">
      <c r="B13" s="14" t="s">
        <v>294</v>
      </c>
      <c r="C13" s="24">
        <v>4370202071</v>
      </c>
      <c r="D13" s="15" t="s">
        <v>304</v>
      </c>
      <c r="E13" s="41" t="str">
        <f>VLOOKUP($C13,[1]①入所者等情報貼付けシート!$O$1:$R$65536,2,FALSE)</f>
        <v/>
      </c>
      <c r="F13" s="41">
        <f>VLOOKUP($C13,[1]①入所者等情報貼付けシート!$O$1:$R$65536,3,FALSE)</f>
        <v>60</v>
      </c>
      <c r="G13" s="42">
        <f>VLOOKUP($C13,[1]①入所者等情報貼付けシート!$O$1:$R$65536,4,FALSE)</f>
        <v>39</v>
      </c>
    </row>
    <row r="14" spans="2:9" x14ac:dyDescent="0.45">
      <c r="B14" s="14" t="s">
        <v>305</v>
      </c>
      <c r="C14" s="24">
        <v>4390200162</v>
      </c>
      <c r="D14" s="15" t="s">
        <v>51</v>
      </c>
      <c r="E14" s="41" t="str">
        <f>VLOOKUP($C14,[1]①入所者等情報貼付けシート!$O$1:$R$65536,2,FALSE)</f>
        <v/>
      </c>
      <c r="F14" s="41">
        <f>VLOOKUP($C14,[1]①入所者等情報貼付けシート!$O$1:$R$65536,3,FALSE)</f>
        <v>28</v>
      </c>
      <c r="G14" s="42">
        <f>VLOOKUP($C14,[1]①入所者等情報貼付けシート!$O$1:$R$65536,4,FALSE)</f>
        <v>17</v>
      </c>
    </row>
    <row r="15" spans="2:9" x14ac:dyDescent="0.45">
      <c r="B15" s="14" t="s">
        <v>305</v>
      </c>
      <c r="C15" s="24">
        <v>4390200261</v>
      </c>
      <c r="D15" s="15" t="s">
        <v>53</v>
      </c>
      <c r="E15" s="41" t="str">
        <f>VLOOKUP($C15,[1]①入所者等情報貼付けシート!$O$1:$R$65536,2,FALSE)</f>
        <v/>
      </c>
      <c r="F15" s="41">
        <f>VLOOKUP($C15,[1]①入所者等情報貼付けシート!$O$1:$R$65536,3,FALSE)</f>
        <v>29</v>
      </c>
      <c r="G15" s="42">
        <f>VLOOKUP($C15,[1]①入所者等情報貼付けシート!$O$1:$R$65536,4,FALSE)</f>
        <v>33</v>
      </c>
    </row>
    <row r="16" spans="2:9" x14ac:dyDescent="0.45">
      <c r="B16" s="14" t="s">
        <v>305</v>
      </c>
      <c r="C16" s="24">
        <v>4390200279</v>
      </c>
      <c r="D16" s="15" t="s">
        <v>55</v>
      </c>
      <c r="E16" s="41" t="str">
        <f>VLOOKUP($C16,[1]①入所者等情報貼付けシート!$O$1:$R$65536,2,FALSE)</f>
        <v/>
      </c>
      <c r="F16" s="41">
        <f>VLOOKUP($C16,[1]①入所者等情報貼付けシート!$O$1:$R$65536,3,FALSE)</f>
        <v>29</v>
      </c>
      <c r="G16" s="42">
        <f>VLOOKUP($C16,[1]①入所者等情報貼付けシート!$O$1:$R$65536,4,FALSE)</f>
        <v>50</v>
      </c>
    </row>
    <row r="17" spans="2:7" x14ac:dyDescent="0.45">
      <c r="B17" s="14" t="s">
        <v>305</v>
      </c>
      <c r="C17" s="24">
        <v>4390200378</v>
      </c>
      <c r="D17" s="15" t="s">
        <v>57</v>
      </c>
      <c r="E17" s="41" t="str">
        <f>VLOOKUP($C17,[1]①入所者等情報貼付けシート!$O$1:$R$65536,2,FALSE)</f>
        <v/>
      </c>
      <c r="F17" s="41">
        <f>VLOOKUP($C17,[1]①入所者等情報貼付けシート!$O$1:$R$65536,3,FALSE)</f>
        <v>29</v>
      </c>
      <c r="G17" s="42">
        <f>VLOOKUP($C17,[1]①入所者等情報貼付けシート!$O$1:$R$65536,4,FALSE)</f>
        <v>97</v>
      </c>
    </row>
    <row r="18" spans="2:7" x14ac:dyDescent="0.45">
      <c r="B18" s="14" t="s">
        <v>305</v>
      </c>
      <c r="C18" s="36">
        <v>4390200451</v>
      </c>
      <c r="D18" s="15" t="s">
        <v>58</v>
      </c>
      <c r="E18" s="41" t="str">
        <f>VLOOKUP($C18,[1]①入所者等情報貼付けシート!$O$1:$R$65536,2,FALSE)</f>
        <v/>
      </c>
      <c r="F18" s="41">
        <f>VLOOKUP($C18,[1]①入所者等情報貼付けシート!$O$1:$R$65536,3,FALSE)</f>
        <v>24</v>
      </c>
      <c r="G18" s="42">
        <f>VLOOKUP($C18,[1]①入所者等情報貼付けシート!$O$1:$R$65536,4,FALSE)</f>
        <v>49</v>
      </c>
    </row>
    <row r="19" spans="2:7" x14ac:dyDescent="0.45">
      <c r="B19" s="14" t="s">
        <v>306</v>
      </c>
      <c r="C19" s="24">
        <v>4350280048</v>
      </c>
      <c r="D19" s="15" t="s">
        <v>62</v>
      </c>
      <c r="E19" s="41" t="str">
        <f>VLOOKUP($C19,[1]①入所者等情報貼付けシート!$O$1:$R$65536,2,FALSE)</f>
        <v/>
      </c>
      <c r="F19" s="41">
        <f>VLOOKUP($C19,[1]①入所者等情報貼付けシート!$O$1:$R$65536,3,FALSE)</f>
        <v>70</v>
      </c>
      <c r="G19" s="42">
        <f>VLOOKUP($C19,[1]①入所者等情報貼付けシート!$O$1:$R$65536,4,FALSE)</f>
        <v>3</v>
      </c>
    </row>
    <row r="20" spans="2:7" x14ac:dyDescent="0.45">
      <c r="B20" s="14" t="s">
        <v>306</v>
      </c>
      <c r="C20" s="24">
        <v>4350280063</v>
      </c>
      <c r="D20" s="15" t="s">
        <v>65</v>
      </c>
      <c r="E20" s="41" t="e">
        <f>VLOOKUP($C20,[1]①入所者等情報貼付けシート!$O$1:$R$65536,2,FALSE)</f>
        <v>#N/A</v>
      </c>
      <c r="F20" s="41" t="e">
        <f>VLOOKUP($C20,[1]①入所者等情報貼付けシート!$O$1:$R$65536,3,FALSE)</f>
        <v>#N/A</v>
      </c>
      <c r="G20" s="42" t="e">
        <f>VLOOKUP($C20,[1]①入所者等情報貼付けシート!$O$1:$R$65536,4,FALSE)</f>
        <v>#N/A</v>
      </c>
    </row>
    <row r="21" spans="2:7" x14ac:dyDescent="0.45">
      <c r="B21" s="14" t="s">
        <v>306</v>
      </c>
      <c r="C21" s="24">
        <v>4350280022</v>
      </c>
      <c r="D21" s="15" t="s">
        <v>65</v>
      </c>
      <c r="E21" s="41">
        <f>VLOOKUP($C21,[1]①入所者等情報貼付けシート!$O$1:$R$65536,2,FALSE)</f>
        <v>0</v>
      </c>
      <c r="F21" s="41">
        <f>VLOOKUP($C21,[1]①入所者等情報貼付けシート!$O$1:$R$65536,3,FALSE)</f>
        <v>80</v>
      </c>
      <c r="G21" s="42">
        <f>VLOOKUP($C21,[1]①入所者等情報貼付けシート!$O$1:$R$65536,4,FALSE)</f>
        <v>4</v>
      </c>
    </row>
    <row r="22" spans="2:7" x14ac:dyDescent="0.45">
      <c r="B22" s="14" t="s">
        <v>306</v>
      </c>
      <c r="C22" s="24">
        <v>4350280030</v>
      </c>
      <c r="D22" s="15" t="s">
        <v>68</v>
      </c>
      <c r="E22" s="41" t="str">
        <f>VLOOKUP($C22,[1]①入所者等情報貼付けシート!$O$1:$R$65536,2,FALSE)</f>
        <v/>
      </c>
      <c r="F22" s="41">
        <f>VLOOKUP($C22,[1]①入所者等情報貼付けシート!$O$1:$R$65536,3,FALSE)</f>
        <v>68</v>
      </c>
      <c r="G22" s="42">
        <f>VLOOKUP($C22,[1]①入所者等情報貼付けシート!$O$1:$R$65536,4,FALSE)</f>
        <v>5</v>
      </c>
    </row>
    <row r="23" spans="2:7" x14ac:dyDescent="0.45">
      <c r="B23" s="14" t="s">
        <v>306</v>
      </c>
      <c r="C23" s="24">
        <v>4350280071</v>
      </c>
      <c r="D23" s="15" t="s">
        <v>164</v>
      </c>
      <c r="E23" s="41">
        <f>VLOOKUP($C23,[1]①入所者等情報貼付けシート!$O$1:$R$65536,2,FALSE)</f>
        <v>0</v>
      </c>
      <c r="F23" s="41">
        <f>VLOOKUP($C23,[1]①入所者等情報貼付けシート!$O$1:$R$65536,3,FALSE)</f>
        <v>47</v>
      </c>
      <c r="G23" s="42">
        <f>VLOOKUP($C23,[1]①入所者等情報貼付けシート!$O$1:$R$65536,4,FALSE)</f>
        <v>8</v>
      </c>
    </row>
    <row r="24" spans="2:7" x14ac:dyDescent="0.45">
      <c r="B24" s="14" t="s">
        <v>306</v>
      </c>
      <c r="C24" s="24">
        <v>4350280055</v>
      </c>
      <c r="D24" s="15" t="s">
        <v>164</v>
      </c>
      <c r="E24" s="41" t="str">
        <f>VLOOKUP($C24,[1]①入所者等情報貼付けシート!$O$1:$R$65536,2,FALSE)</f>
        <v/>
      </c>
      <c r="F24" s="41">
        <f>VLOOKUP($C24,[1]①入所者等情報貼付けシート!$O$1:$R$65536,3,FALSE)</f>
        <v>76</v>
      </c>
      <c r="G24" s="42">
        <f>VLOOKUP($C24,[1]①入所者等情報貼付けシート!$O$1:$R$65536,4,FALSE)</f>
        <v>42</v>
      </c>
    </row>
    <row r="25" spans="2:7" x14ac:dyDescent="0.45">
      <c r="B25" s="14" t="s">
        <v>306</v>
      </c>
      <c r="C25" s="24">
        <v>4350280014</v>
      </c>
      <c r="D25" s="15" t="s">
        <v>73</v>
      </c>
      <c r="E25" s="41" t="str">
        <f>VLOOKUP($C25,[1]①入所者等情報貼付けシート!$O$1:$R$65536,2,FALSE)</f>
        <v/>
      </c>
      <c r="F25" s="41">
        <f>VLOOKUP($C25,[1]①入所者等情報貼付けシート!$O$1:$R$65536,3,FALSE)</f>
        <v>79</v>
      </c>
      <c r="G25" s="42">
        <f>VLOOKUP($C25,[1]①入所者等情報貼付けシート!$O$1:$R$65536,4,FALSE)</f>
        <v>2</v>
      </c>
    </row>
    <row r="26" spans="2:7" x14ac:dyDescent="0.45">
      <c r="B26" s="14" t="s">
        <v>306</v>
      </c>
      <c r="C26" s="24">
        <v>4352980025</v>
      </c>
      <c r="D26" s="15" t="s">
        <v>75</v>
      </c>
      <c r="E26" s="41" t="str">
        <f>VLOOKUP($C26,[1]①入所者等情報貼付けシート!$O$1:$R$65536,2,FALSE)</f>
        <v/>
      </c>
      <c r="F26" s="41">
        <f>VLOOKUP($C26,[1]①入所者等情報貼付けシート!$O$1:$R$65536,3,FALSE)</f>
        <v>70</v>
      </c>
      <c r="G26" s="42">
        <f>VLOOKUP($C26,[1]①入所者等情報貼付けシート!$O$1:$R$65536,4,FALSE)</f>
        <v>6</v>
      </c>
    </row>
    <row r="27" spans="2:7" x14ac:dyDescent="0.45">
      <c r="B27" s="14" t="s">
        <v>307</v>
      </c>
      <c r="C27" s="36" t="s">
        <v>308</v>
      </c>
      <c r="D27" s="15" t="s">
        <v>79</v>
      </c>
      <c r="E27" s="41" t="str">
        <f>VLOOKUP($C27,[1]①入所者等情報貼付けシート!$O$1:$R$65536,2,FALSE)</f>
        <v/>
      </c>
      <c r="F27" s="41">
        <f>VLOOKUP($C27,[1]①入所者等情報貼付けシート!$O$1:$R$65536,3,FALSE)</f>
        <v>35</v>
      </c>
      <c r="G27" s="42">
        <f>VLOOKUP($C27,[1]①入所者等情報貼付けシート!$O$1:$R$65536,4,FALSE)</f>
        <v>1</v>
      </c>
    </row>
    <row r="28" spans="2:7" x14ac:dyDescent="0.45">
      <c r="B28" s="14" t="s">
        <v>307</v>
      </c>
      <c r="C28" s="24" t="s">
        <v>309</v>
      </c>
      <c r="D28" s="15" t="s">
        <v>82</v>
      </c>
      <c r="E28" s="41">
        <f>VLOOKUP($C28,[1]①入所者等情報貼付けシート!$O$1:$R$65536,2,FALSE)</f>
        <v>0</v>
      </c>
      <c r="F28" s="41">
        <f>VLOOKUP($C28,[1]①入所者等情報貼付けシート!$O$1:$R$65536,3,FALSE)</f>
        <v>31</v>
      </c>
      <c r="G28" s="42">
        <f>VLOOKUP($C28,[1]①入所者等情報貼付けシート!$O$1:$R$65536,4,FALSE)</f>
        <v>3</v>
      </c>
    </row>
    <row r="29" spans="2:7" x14ac:dyDescent="0.45">
      <c r="B29" s="14" t="s">
        <v>310</v>
      </c>
      <c r="C29" s="24">
        <v>4370201123</v>
      </c>
      <c r="D29" s="15" t="s">
        <v>167</v>
      </c>
      <c r="E29" s="41">
        <f>VLOOKUP($C29,[1]①入所者等情報貼付けシート!$O$1:$R$65536,2,FALSE)</f>
        <v>0</v>
      </c>
      <c r="F29" s="41">
        <f>VLOOKUP($C29,[1]①入所者等情報貼付けシート!$O$1:$R$65536,3,FALSE)</f>
        <v>18</v>
      </c>
      <c r="G29" s="42">
        <f>VLOOKUP($C29,[1]①入所者等情報貼付けシート!$O$1:$R$65536,4,FALSE)</f>
        <v>0</v>
      </c>
    </row>
    <row r="30" spans="2:7" x14ac:dyDescent="0.45">
      <c r="B30" s="14" t="s">
        <v>311</v>
      </c>
      <c r="C30" s="24">
        <v>4370203004</v>
      </c>
      <c r="D30" s="15" t="s">
        <v>168</v>
      </c>
      <c r="E30" s="41">
        <f>VLOOKUP($C30,[1]①入所者等情報貼付けシート!$O$1:$R$65536,2,FALSE)</f>
        <v>0</v>
      </c>
      <c r="F30" s="41">
        <f>VLOOKUP($C30,[1]①入所者等情報貼付けシート!$O$1:$R$65536,3,FALSE)</f>
        <v>27</v>
      </c>
      <c r="G30" s="42">
        <f>VLOOKUP($C30,[1]①入所者等情報貼付けシート!$O$1:$R$65536,4,FALSE)</f>
        <v>0</v>
      </c>
    </row>
    <row r="31" spans="2:7" x14ac:dyDescent="0.45">
      <c r="B31" s="14" t="s">
        <v>311</v>
      </c>
      <c r="C31" s="24">
        <v>4370202899</v>
      </c>
      <c r="D31" s="15" t="s">
        <v>312</v>
      </c>
      <c r="E31" s="41" t="str">
        <f>VLOOKUP($C31,[1]①入所者等情報貼付けシート!$O$1:$R$65536,2,FALSE)</f>
        <v/>
      </c>
      <c r="F31" s="41">
        <f>VLOOKUP($C31,[1]①入所者等情報貼付けシート!$O$1:$R$65536,3,FALSE)</f>
        <v>50</v>
      </c>
      <c r="G31" s="42">
        <f>VLOOKUP($C31,[1]①入所者等情報貼付けシート!$O$1:$R$65536,4,FALSE)</f>
        <v>17</v>
      </c>
    </row>
    <row r="32" spans="2:7" x14ac:dyDescent="0.45">
      <c r="B32" s="14" t="s">
        <v>311</v>
      </c>
      <c r="C32" s="24">
        <v>4370203442</v>
      </c>
      <c r="D32" s="15" t="s">
        <v>313</v>
      </c>
      <c r="E32" s="41">
        <f>VLOOKUP($C32,[1]①入所者等情報貼付けシート!$O$1:$R$65536,2,FALSE)</f>
        <v>40</v>
      </c>
      <c r="F32" s="41">
        <f>VLOOKUP($C32,[1]①入所者等情報貼付けシート!$O$1:$R$65536,3,FALSE)</f>
        <v>38</v>
      </c>
      <c r="G32" s="42">
        <f>VLOOKUP($C32,[1]①入所者等情報貼付けシート!$O$1:$R$65536,4,FALSE)</f>
        <v>2</v>
      </c>
    </row>
    <row r="33" spans="2:7" x14ac:dyDescent="0.45">
      <c r="B33" s="14" t="s">
        <v>314</v>
      </c>
      <c r="C33" s="24">
        <v>4390200188</v>
      </c>
      <c r="D33" s="15" t="s">
        <v>88</v>
      </c>
      <c r="E33" s="41" t="str">
        <f>VLOOKUP($C33,[1]①入所者等情報貼付けシート!$O$1:$R$65536,2,FALSE)</f>
        <v/>
      </c>
      <c r="F33" s="41">
        <f>VLOOKUP($C33,[1]①入所者等情報貼付けシート!$O$1:$R$65536,3,FALSE)</f>
        <v>28</v>
      </c>
      <c r="G33" s="42">
        <f>VLOOKUP($C33,[1]①入所者等情報貼付けシート!$O$1:$R$65536,4,FALSE)</f>
        <v>0</v>
      </c>
    </row>
    <row r="34" spans="2:7" x14ac:dyDescent="0.45">
      <c r="B34" s="14" t="s">
        <v>315</v>
      </c>
      <c r="C34" s="15">
        <v>4360290003</v>
      </c>
      <c r="D34" s="15" t="s">
        <v>171</v>
      </c>
      <c r="E34" s="41">
        <f>VLOOKUP($C34,[1]①入所者等情報貼付けシート!$O$1:$R$65536,2,FALSE)</f>
        <v>0</v>
      </c>
      <c r="F34" s="41">
        <f>VLOOKUP($C34,[1]①入所者等情報貼付けシート!$O$1:$R$65536,3,FALSE)</f>
        <v>9</v>
      </c>
      <c r="G34" s="42">
        <f>VLOOKUP($C34,[1]①入所者等情報貼付けシート!$O$1:$R$65536,4,FALSE)</f>
        <v>11</v>
      </c>
    </row>
    <row r="35" spans="2:7" x14ac:dyDescent="0.45">
      <c r="B35" s="14" t="s">
        <v>315</v>
      </c>
      <c r="C35" s="15">
        <v>4370200984</v>
      </c>
      <c r="D35" s="15" t="s">
        <v>94</v>
      </c>
      <c r="E35" s="41" t="str">
        <f>VLOOKUP($C35,[1]①入所者等情報貼付けシート!$O$1:$R$65536,2,FALSE)</f>
        <v/>
      </c>
      <c r="F35" s="41">
        <f>VLOOKUP($C35,[1]①入所者等情報貼付けシート!$O$1:$R$65536,3,FALSE)</f>
        <v>9</v>
      </c>
      <c r="G35" s="42">
        <f>VLOOKUP($C35,[1]①入所者等情報貼付けシート!$O$1:$R$65536,4,FALSE)</f>
        <v>7</v>
      </c>
    </row>
    <row r="36" spans="2:7" x14ac:dyDescent="0.45">
      <c r="B36" s="14" t="s">
        <v>315</v>
      </c>
      <c r="C36" s="15">
        <v>4370201008</v>
      </c>
      <c r="D36" s="15" t="s">
        <v>95</v>
      </c>
      <c r="E36" s="41">
        <f>VLOOKUP($C36,[1]①入所者等情報貼付けシート!$O$1:$R$65536,2,FALSE)</f>
        <v>0</v>
      </c>
      <c r="F36" s="41">
        <f>VLOOKUP($C36,[1]①入所者等情報貼付けシート!$O$1:$R$65536,3,FALSE)</f>
        <v>18</v>
      </c>
      <c r="G36" s="42">
        <f>VLOOKUP($C36,[1]①入所者等情報貼付けシート!$O$1:$R$65536,4,FALSE)</f>
        <v>10</v>
      </c>
    </row>
    <row r="37" spans="2:7" x14ac:dyDescent="0.45">
      <c r="B37" s="14" t="s">
        <v>315</v>
      </c>
      <c r="C37" s="15">
        <v>4370201446</v>
      </c>
      <c r="D37" s="15" t="s">
        <v>97</v>
      </c>
      <c r="E37" s="41">
        <f>VLOOKUP($C37,[1]①入所者等情報貼付けシート!$O$1:$R$65536,2,FALSE)</f>
        <v>0</v>
      </c>
      <c r="F37" s="41">
        <f>VLOOKUP($C37,[1]①入所者等情報貼付けシート!$O$1:$R$65536,3,FALSE)</f>
        <v>13</v>
      </c>
      <c r="G37" s="42">
        <f>VLOOKUP($C37,[1]①入所者等情報貼付けシート!$O$1:$R$65536,4,FALSE)</f>
        <v>3</v>
      </c>
    </row>
    <row r="38" spans="2:7" x14ac:dyDescent="0.45">
      <c r="B38" s="14" t="s">
        <v>315</v>
      </c>
      <c r="C38" s="24">
        <v>4372900698</v>
      </c>
      <c r="D38" s="15" t="s">
        <v>100</v>
      </c>
      <c r="E38" s="41">
        <f>VLOOKUP($C38,[1]①入所者等情報貼付けシート!$O$1:$R$65536,2,FALSE)</f>
        <v>0</v>
      </c>
      <c r="F38" s="41">
        <f>VLOOKUP($C38,[1]①入所者等情報貼付けシート!$O$1:$R$65536,3,FALSE)</f>
        <v>18</v>
      </c>
      <c r="G38" s="42">
        <f>VLOOKUP($C38,[1]①入所者等情報貼付けシート!$O$1:$R$65536,4,FALSE)</f>
        <v>12</v>
      </c>
    </row>
    <row r="39" spans="2:7" x14ac:dyDescent="0.45">
      <c r="B39" s="14" t="s">
        <v>315</v>
      </c>
      <c r="C39" s="24">
        <v>4372900748</v>
      </c>
      <c r="D39" s="15" t="s">
        <v>172</v>
      </c>
      <c r="E39" s="41" t="str">
        <f>VLOOKUP($C39,[1]①入所者等情報貼付けシート!$O$1:$R$65536,2,FALSE)</f>
        <v/>
      </c>
      <c r="F39" s="41">
        <f>VLOOKUP($C39,[1]①入所者等情報貼付けシート!$O$1:$R$65536,3,FALSE)</f>
        <v>18</v>
      </c>
      <c r="G39" s="42">
        <f>VLOOKUP($C39,[1]①入所者等情報貼付けシート!$O$1:$R$65536,4,FALSE)</f>
        <v>3</v>
      </c>
    </row>
    <row r="40" spans="2:7" x14ac:dyDescent="0.45">
      <c r="B40" s="14" t="s">
        <v>315</v>
      </c>
      <c r="C40" s="15">
        <v>4372900755</v>
      </c>
      <c r="D40" s="15" t="s">
        <v>104</v>
      </c>
      <c r="E40" s="41" t="str">
        <f>VLOOKUP($C40,[1]①入所者等情報貼付けシート!$O$1:$R$65536,2,FALSE)</f>
        <v/>
      </c>
      <c r="F40" s="41">
        <f>VLOOKUP($C40,[1]①入所者等情報貼付けシート!$O$1:$R$65536,3,FALSE)</f>
        <v>9</v>
      </c>
      <c r="G40" s="42">
        <f>VLOOKUP($C40,[1]①入所者等情報貼付けシート!$O$1:$R$65536,4,FALSE)</f>
        <v>12</v>
      </c>
    </row>
    <row r="41" spans="2:7" x14ac:dyDescent="0.45">
      <c r="B41" s="14" t="s">
        <v>315</v>
      </c>
      <c r="C41" s="15">
        <v>4390200014</v>
      </c>
      <c r="D41" s="15" t="s">
        <v>316</v>
      </c>
      <c r="E41" s="41" t="str">
        <f>VLOOKUP($C41,[1]①入所者等情報貼付けシート!$O$1:$R$65536,2,FALSE)</f>
        <v/>
      </c>
      <c r="F41" s="41" t="s">
        <v>317</v>
      </c>
      <c r="G41" s="42" t="s">
        <v>317</v>
      </c>
    </row>
    <row r="42" spans="2:7" x14ac:dyDescent="0.45">
      <c r="B42" s="14" t="s">
        <v>315</v>
      </c>
      <c r="C42" s="15">
        <v>4390200097</v>
      </c>
      <c r="D42" s="15" t="s">
        <v>108</v>
      </c>
      <c r="E42" s="41" t="str">
        <f>VLOOKUP($C42,[1]①入所者等情報貼付けシート!$O$1:$R$65536,2,FALSE)</f>
        <v/>
      </c>
      <c r="F42" s="41">
        <f>VLOOKUP($C42,[1]①入所者等情報貼付けシート!$O$1:$R$65536,3,FALSE)</f>
        <v>9</v>
      </c>
      <c r="G42" s="42">
        <f>VLOOKUP($C42,[1]①入所者等情報貼付けシート!$O$1:$R$65536,4,FALSE)</f>
        <v>2</v>
      </c>
    </row>
    <row r="43" spans="2:7" x14ac:dyDescent="0.45">
      <c r="B43" s="14" t="s">
        <v>315</v>
      </c>
      <c r="C43" s="15">
        <v>4390200063</v>
      </c>
      <c r="D43" s="15" t="s">
        <v>111</v>
      </c>
      <c r="E43" s="41">
        <f>VLOOKUP($C43,[1]①入所者等情報貼付けシート!$O$1:$R$65536,2,FALSE)</f>
        <v>0</v>
      </c>
      <c r="F43" s="41">
        <f>VLOOKUP($C43,[1]①入所者等情報貼付けシート!$O$1:$R$65536,3,FALSE)</f>
        <v>9</v>
      </c>
      <c r="G43" s="42">
        <f>VLOOKUP($C43,[1]①入所者等情報貼付けシート!$O$1:$R$65536,4,FALSE)</f>
        <v>1</v>
      </c>
    </row>
    <row r="44" spans="2:7" x14ac:dyDescent="0.45">
      <c r="B44" s="14" t="s">
        <v>315</v>
      </c>
      <c r="C44" s="15">
        <v>4390200147</v>
      </c>
      <c r="D44" s="15" t="s">
        <v>114</v>
      </c>
      <c r="E44" s="41">
        <f>VLOOKUP($C44,[1]①入所者等情報貼付けシート!$O$1:$R$65536,2,FALSE)</f>
        <v>0</v>
      </c>
      <c r="F44" s="41">
        <f>VLOOKUP($C44,[1]①入所者等情報貼付けシート!$O$1:$R$65536,3,FALSE)</f>
        <v>9</v>
      </c>
      <c r="G44" s="42">
        <f>VLOOKUP($C44,[1]①入所者等情報貼付けシート!$O$1:$R$65536,4,FALSE)</f>
        <v>12</v>
      </c>
    </row>
    <row r="45" spans="2:7" x14ac:dyDescent="0.45">
      <c r="B45" s="14" t="s">
        <v>315</v>
      </c>
      <c r="C45" s="15">
        <v>4390200204</v>
      </c>
      <c r="D45" s="15" t="s">
        <v>115</v>
      </c>
      <c r="E45" s="41">
        <f>VLOOKUP($C45,[1]①入所者等情報貼付けシート!$O$1:$R$65536,2,FALSE)</f>
        <v>0</v>
      </c>
      <c r="F45" s="41">
        <f>VLOOKUP($C45,[1]①入所者等情報貼付けシート!$O$1:$R$65536,3,FALSE)</f>
        <v>9</v>
      </c>
      <c r="G45" s="42">
        <f>VLOOKUP($C45,[1]①入所者等情報貼付けシート!$O$1:$R$65536,4,FALSE)</f>
        <v>10</v>
      </c>
    </row>
    <row r="46" spans="2:7" x14ac:dyDescent="0.45">
      <c r="B46" s="14" t="s">
        <v>315</v>
      </c>
      <c r="C46" s="15">
        <v>4390200253</v>
      </c>
      <c r="D46" s="15" t="s">
        <v>116</v>
      </c>
      <c r="E46" s="41" t="str">
        <f>VLOOKUP($C46,[1]①入所者等情報貼付けシート!$O$1:$R$65536,2,FALSE)</f>
        <v/>
      </c>
      <c r="F46" s="41">
        <f>VLOOKUP($C46,[1]①入所者等情報貼付けシート!$O$1:$R$65536,3,FALSE)</f>
        <v>9</v>
      </c>
      <c r="G46" s="42">
        <f>VLOOKUP($C46,[1]①入所者等情報貼付けシート!$O$1:$R$65536,4,FALSE)</f>
        <v>6</v>
      </c>
    </row>
    <row r="47" spans="2:7" x14ac:dyDescent="0.45">
      <c r="B47" s="14" t="s">
        <v>315</v>
      </c>
      <c r="C47" s="15">
        <v>4390200238</v>
      </c>
      <c r="D47" s="15" t="s">
        <v>177</v>
      </c>
      <c r="E47" s="41" t="str">
        <f>VLOOKUP($C47,[1]①入所者等情報貼付けシート!$O$1:$R$65536,2,FALSE)</f>
        <v/>
      </c>
      <c r="F47" s="41">
        <f>VLOOKUP($C47,[1]①入所者等情報貼付けシート!$O$1:$R$65536,3,FALSE)</f>
        <v>9</v>
      </c>
      <c r="G47" s="42">
        <f>VLOOKUP($C47,[1]①入所者等情報貼付けシート!$O$1:$R$65536,4,FALSE)</f>
        <v>10</v>
      </c>
    </row>
    <row r="48" spans="2:7" x14ac:dyDescent="0.45">
      <c r="B48" s="14" t="s">
        <v>315</v>
      </c>
      <c r="C48" s="15">
        <v>4390200246</v>
      </c>
      <c r="D48" s="15" t="s">
        <v>119</v>
      </c>
      <c r="E48" s="41">
        <f>VLOOKUP($C48,[1]①入所者等情報貼付けシート!$O$1:$R$65536,2,FALSE)</f>
        <v>0</v>
      </c>
      <c r="F48" s="41">
        <f>VLOOKUP($C48,[1]①入所者等情報貼付けシート!$O$1:$R$65536,3,FALSE)</f>
        <v>9</v>
      </c>
      <c r="G48" s="42">
        <f>VLOOKUP($C48,[1]①入所者等情報貼付けシート!$O$1:$R$65536,4,FALSE)</f>
        <v>6</v>
      </c>
    </row>
    <row r="49" spans="2:7" x14ac:dyDescent="0.45">
      <c r="B49" s="14" t="s">
        <v>315</v>
      </c>
      <c r="C49" s="15">
        <v>4390200220</v>
      </c>
      <c r="D49" s="15" t="s">
        <v>121</v>
      </c>
      <c r="E49" s="41" t="str">
        <f>VLOOKUP($C49,[1]①入所者等情報貼付けシート!$O$1:$R$65536,2,FALSE)</f>
        <v/>
      </c>
      <c r="F49" s="41">
        <f>VLOOKUP($C49,[1]①入所者等情報貼付けシート!$O$1:$R$65536,3,FALSE)</f>
        <v>9</v>
      </c>
      <c r="G49" s="42">
        <f>VLOOKUP($C49,[1]①入所者等情報貼付けシート!$O$1:$R$65536,4,FALSE)</f>
        <v>3</v>
      </c>
    </row>
    <row r="50" spans="2:7" x14ac:dyDescent="0.45">
      <c r="B50" s="14" t="s">
        <v>315</v>
      </c>
      <c r="C50" s="15">
        <v>4390200352</v>
      </c>
      <c r="D50" s="15" t="s">
        <v>123</v>
      </c>
      <c r="E50" s="41">
        <f>VLOOKUP($C50,[1]①入所者等情報貼付けシート!$O$1:$R$65536,2,FALSE)</f>
        <v>0</v>
      </c>
      <c r="F50" s="41">
        <f>VLOOKUP($C50,[1]①入所者等情報貼付けシート!$O$1:$R$65536,3,FALSE)</f>
        <v>7</v>
      </c>
      <c r="G50" s="42">
        <f>VLOOKUP($C50,[1]①入所者等情報貼付けシート!$O$1:$R$65536,4,FALSE)</f>
        <v>2</v>
      </c>
    </row>
    <row r="51" spans="2:7" x14ac:dyDescent="0.45">
      <c r="B51" s="14" t="s">
        <v>315</v>
      </c>
      <c r="C51" s="15">
        <v>4390200410</v>
      </c>
      <c r="D51" s="15" t="s">
        <v>125</v>
      </c>
      <c r="E51" s="41">
        <f>VLOOKUP($C51,[1]①入所者等情報貼付けシート!$O$1:$R$65536,2,FALSE)</f>
        <v>0</v>
      </c>
      <c r="F51" s="41">
        <f>VLOOKUP($C51,[1]①入所者等情報貼付けシート!$O$1:$R$65536,3,FALSE)</f>
        <v>9</v>
      </c>
      <c r="G51" s="42">
        <f>VLOOKUP($C51,[1]①入所者等情報貼付けシート!$O$1:$R$65536,4,FALSE)</f>
        <v>3</v>
      </c>
    </row>
    <row r="52" spans="2:7" x14ac:dyDescent="0.45">
      <c r="B52" s="14" t="s">
        <v>315</v>
      </c>
      <c r="C52" s="15">
        <v>4390200519</v>
      </c>
      <c r="D52" s="15" t="s">
        <v>318</v>
      </c>
      <c r="E52" s="41" t="str">
        <f>VLOOKUP($C52,[1]①入所者等情報貼付けシート!$O$1:$R$65536,2,FALSE)</f>
        <v/>
      </c>
      <c r="F52" s="41">
        <f>VLOOKUP($C52,[1]①入所者等情報貼付けシート!$O$1:$R$65536,3,FALSE)</f>
        <v>9</v>
      </c>
      <c r="G52" s="42">
        <f>VLOOKUP($C52,[1]①入所者等情報貼付けシート!$O$1:$R$65536,4,FALSE)</f>
        <v>4</v>
      </c>
    </row>
    <row r="53" spans="2:7" x14ac:dyDescent="0.45">
      <c r="B53" s="14" t="s">
        <v>315</v>
      </c>
      <c r="C53" s="15">
        <v>4390200592</v>
      </c>
      <c r="D53" s="15" t="s">
        <v>123</v>
      </c>
      <c r="E53" s="41">
        <f>VLOOKUP($C53,[1]①入所者等情報貼付けシート!$O$1:$R$65536,2,FALSE)</f>
        <v>0</v>
      </c>
      <c r="F53" s="41">
        <f>VLOOKUP($C53,[1]①入所者等情報貼付けシート!$O$1:$R$65536,3,FALSE)</f>
        <v>8</v>
      </c>
      <c r="G53" s="42">
        <f>VLOOKUP($C53,[1]①入所者等情報貼付けシート!$O$1:$R$65536,4,FALSE)</f>
        <v>0</v>
      </c>
    </row>
    <row r="54" spans="2:7" x14ac:dyDescent="0.45">
      <c r="B54" s="14" t="s">
        <v>315</v>
      </c>
      <c r="C54" s="15">
        <v>4390200584</v>
      </c>
      <c r="D54" s="15" t="s">
        <v>119</v>
      </c>
      <c r="E54" s="41" t="e">
        <f>VLOOKUP($C54,[1]①入所者等情報貼付けシート!$O$1:$R$65536,2,FALSE)</f>
        <v>#N/A</v>
      </c>
      <c r="F54" s="41" t="e">
        <f>VLOOKUP($C54,[1]①入所者等情報貼付けシート!$O$1:$R$65536,3,FALSE)</f>
        <v>#N/A</v>
      </c>
      <c r="G54" s="42" t="e">
        <f>VLOOKUP($C54,[1]①入所者等情報貼付けシート!$O$1:$R$65536,4,FALSE)</f>
        <v>#N/A</v>
      </c>
    </row>
    <row r="55" spans="2:7" x14ac:dyDescent="0.45">
      <c r="B55" s="14" t="s">
        <v>315</v>
      </c>
      <c r="C55" s="15">
        <v>4390200600</v>
      </c>
      <c r="D55" s="15" t="s">
        <v>125</v>
      </c>
      <c r="E55" s="41" t="e">
        <f>VLOOKUP($C55,[1]①入所者等情報貼付けシート!$O$1:$R$65536,2,FALSE)</f>
        <v>#N/A</v>
      </c>
      <c r="F55" s="41" t="e">
        <f>VLOOKUP($C55,[1]①入所者等情報貼付けシート!$O$1:$R$65536,3,FALSE)</f>
        <v>#N/A</v>
      </c>
      <c r="G55" s="42" t="e">
        <f>VLOOKUP($C55,[1]①入所者等情報貼付けシート!$O$1:$R$65536,4,FALSE)</f>
        <v>#N/A</v>
      </c>
    </row>
    <row r="56" spans="2:7" x14ac:dyDescent="0.45">
      <c r="B56" s="14" t="s">
        <v>319</v>
      </c>
      <c r="C56" s="15">
        <v>4390200022</v>
      </c>
      <c r="D56" s="15" t="s">
        <v>184</v>
      </c>
      <c r="E56" s="41">
        <f>VLOOKUP($C56,[1]①入所者等情報貼付けシート!$O$1:$R$65536,2,FALSE)</f>
        <v>29</v>
      </c>
      <c r="F56" s="41">
        <f>VLOOKUP($C56,[1]①入所者等情報貼付けシート!$O$1:$R$65536,3,FALSE)</f>
        <v>0</v>
      </c>
      <c r="G56" s="42">
        <f>VLOOKUP($C56,[1]①入所者等情報貼付けシート!$O$1:$R$65536,4,FALSE)</f>
        <v>0</v>
      </c>
    </row>
    <row r="57" spans="2:7" x14ac:dyDescent="0.45">
      <c r="B57" s="14" t="s">
        <v>319</v>
      </c>
      <c r="C57" s="15">
        <v>4390200048</v>
      </c>
      <c r="D57" s="15" t="s">
        <v>130</v>
      </c>
      <c r="E57" s="41">
        <f>VLOOKUP($C57,[1]①入所者等情報貼付けシート!$O$1:$R$65536,2,FALSE)</f>
        <v>25</v>
      </c>
      <c r="F57" s="41" t="str">
        <f>VLOOKUP($C57,[1]①入所者等情報貼付けシート!$O$1:$R$65536,3,FALSE)</f>
        <v/>
      </c>
      <c r="G57" s="42" t="str">
        <f>VLOOKUP($C57,[1]①入所者等情報貼付けシート!$O$1:$R$65536,4,FALSE)</f>
        <v/>
      </c>
    </row>
    <row r="58" spans="2:7" x14ac:dyDescent="0.45">
      <c r="B58" s="14" t="s">
        <v>319</v>
      </c>
      <c r="C58" s="15">
        <v>4390200527</v>
      </c>
      <c r="D58" s="15" t="s">
        <v>133</v>
      </c>
      <c r="E58" s="41">
        <f>VLOOKUP($C58,[1]①入所者等情報貼付けシート!$O$1:$R$65536,2,FALSE)</f>
        <v>18</v>
      </c>
      <c r="F58" s="41">
        <f>VLOOKUP($C58,[1]①入所者等情報貼付けシート!$O$1:$R$65536,3,FALSE)</f>
        <v>0</v>
      </c>
      <c r="G58" s="42">
        <f>VLOOKUP($C58,[1]①入所者等情報貼付けシート!$O$1:$R$65536,4,FALSE)</f>
        <v>0</v>
      </c>
    </row>
    <row r="59" spans="2:7" x14ac:dyDescent="0.45">
      <c r="B59" s="14" t="s">
        <v>319</v>
      </c>
      <c r="C59" s="15">
        <v>4390200071</v>
      </c>
      <c r="D59" s="15" t="s">
        <v>135</v>
      </c>
      <c r="E59" s="41">
        <f>VLOOKUP($C59,[1]①入所者等情報貼付けシート!$O$1:$R$65536,2,FALSE)</f>
        <v>27</v>
      </c>
      <c r="F59" s="41" t="str">
        <f>VLOOKUP($C59,[1]①入所者等情報貼付けシート!$O$1:$R$65536,3,FALSE)</f>
        <v/>
      </c>
      <c r="G59" s="42" t="str">
        <f>VLOOKUP($C59,[1]①入所者等情報貼付けシート!$O$1:$R$65536,4,FALSE)</f>
        <v/>
      </c>
    </row>
    <row r="60" spans="2:7" x14ac:dyDescent="0.45">
      <c r="B60" s="14" t="s">
        <v>319</v>
      </c>
      <c r="C60" s="15">
        <v>4390200105</v>
      </c>
      <c r="D60" s="15" t="s">
        <v>185</v>
      </c>
      <c r="E60" s="41">
        <f>VLOOKUP($C60,[1]①入所者等情報貼付けシート!$O$1:$R$65536,2,FALSE)</f>
        <v>28</v>
      </c>
      <c r="F60" s="41">
        <f>VLOOKUP($C60,[1]①入所者等情報貼付けシート!$O$1:$R$65536,3,FALSE)</f>
        <v>0</v>
      </c>
      <c r="G60" s="42">
        <f>VLOOKUP($C60,[1]①入所者等情報貼付けシート!$O$1:$R$65536,4,FALSE)</f>
        <v>0</v>
      </c>
    </row>
    <row r="61" spans="2:7" x14ac:dyDescent="0.45">
      <c r="B61" s="14" t="s">
        <v>319</v>
      </c>
      <c r="C61" s="15">
        <v>4390200113</v>
      </c>
      <c r="D61" s="15" t="s">
        <v>140</v>
      </c>
      <c r="E61" s="41">
        <f>VLOOKUP($C61,[1]①入所者等情報貼付けシート!$O$1:$R$65536,2,FALSE)</f>
        <v>29</v>
      </c>
      <c r="F61" s="41" t="str">
        <f>VLOOKUP($C61,[1]①入所者等情報貼付けシート!$O$1:$R$65536,3,FALSE)</f>
        <v/>
      </c>
      <c r="G61" s="42" t="str">
        <f>VLOOKUP($C61,[1]①入所者等情報貼付けシート!$O$1:$R$65536,4,FALSE)</f>
        <v/>
      </c>
    </row>
    <row r="62" spans="2:7" x14ac:dyDescent="0.45">
      <c r="B62" s="14" t="s">
        <v>319</v>
      </c>
      <c r="C62" s="15">
        <v>4390200121</v>
      </c>
      <c r="D62" s="15" t="s">
        <v>142</v>
      </c>
      <c r="E62" s="41">
        <f>VLOOKUP($C62,[1]①入所者等情報貼付けシート!$O$1:$R$65536,2,FALSE)</f>
        <v>29</v>
      </c>
      <c r="F62" s="41" t="str">
        <f>VLOOKUP($C62,[1]①入所者等情報貼付けシート!$O$1:$R$65536,3,FALSE)</f>
        <v/>
      </c>
      <c r="G62" s="42" t="str">
        <f>VLOOKUP($C62,[1]①入所者等情報貼付けシート!$O$1:$R$65536,4,FALSE)</f>
        <v/>
      </c>
    </row>
    <row r="63" spans="2:7" x14ac:dyDescent="0.45">
      <c r="B63" s="14" t="s">
        <v>319</v>
      </c>
      <c r="C63" s="15">
        <v>4390200485</v>
      </c>
      <c r="D63" s="15" t="s">
        <v>144</v>
      </c>
      <c r="E63" s="41" t="e">
        <f>VLOOKUP($C63,[1]①入所者等情報貼付けシート!$O$1:$R$65536,2,FALSE)</f>
        <v>#N/A</v>
      </c>
      <c r="F63" s="41" t="s">
        <v>317</v>
      </c>
      <c r="G63" s="42" t="s">
        <v>317</v>
      </c>
    </row>
    <row r="64" spans="2:7" x14ac:dyDescent="0.45">
      <c r="B64" s="14" t="s">
        <v>319</v>
      </c>
      <c r="C64" s="15">
        <v>4390200493</v>
      </c>
      <c r="D64" s="15" t="s">
        <v>146</v>
      </c>
      <c r="E64" s="41">
        <f>VLOOKUP($C64,[1]①入所者等情報貼付けシート!$O$1:$R$65536,2,FALSE)</f>
        <v>28</v>
      </c>
      <c r="F64" s="41">
        <f>VLOOKUP($C64,[1]①入所者等情報貼付けシート!$O$1:$R$65536,3,FALSE)</f>
        <v>0</v>
      </c>
      <c r="G64" s="42">
        <f>VLOOKUP($C64,[1]①入所者等情報貼付けシート!$O$1:$R$65536,4,FALSE)</f>
        <v>0</v>
      </c>
    </row>
    <row r="65" spans="2:7" x14ac:dyDescent="0.45">
      <c r="B65" s="14" t="s">
        <v>320</v>
      </c>
      <c r="C65" s="24">
        <v>4390200295</v>
      </c>
      <c r="D65" s="15" t="s">
        <v>149</v>
      </c>
      <c r="E65" s="41">
        <f>VLOOKUP($C65,[1]①入所者等情報貼付けシート!$O$1:$R$65536,2,FALSE)</f>
        <v>22</v>
      </c>
      <c r="F65" s="41">
        <f>VLOOKUP($C65,[1]①入所者等情報貼付けシート!$O$1:$R$65536,3,FALSE)</f>
        <v>0</v>
      </c>
      <c r="G65" s="42">
        <f>VLOOKUP($C65,[1]①入所者等情報貼付けシート!$O$1:$R$65536,4,FALSE)</f>
        <v>0</v>
      </c>
    </row>
    <row r="66" spans="2:7" ht="18.600000000000001" thickBot="1" x14ac:dyDescent="0.5">
      <c r="B66" s="37" t="s">
        <v>320</v>
      </c>
      <c r="C66" s="38">
        <v>4390200501</v>
      </c>
      <c r="D66" s="39" t="s">
        <v>150</v>
      </c>
      <c r="E66" s="43">
        <f>VLOOKUP($C66,[1]①入所者等情報貼付けシート!$O$1:$R$65536,2,FALSE)</f>
        <v>22</v>
      </c>
      <c r="F66" s="43" t="str">
        <f>VLOOKUP($C66,[1]①入所者等情報貼付けシート!$O$1:$R$65536,3,FALSE)</f>
        <v/>
      </c>
      <c r="G66" s="44" t="str">
        <f>VLOOKUP($C66,[1]①入所者等情報貼付けシート!$O$1:$R$65536,4,FALSE)</f>
        <v/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ED1-13DF-467F-BEA4-5721593CADD2}">
  <dimension ref="A1:Q77"/>
  <sheetViews>
    <sheetView topLeftCell="A25" workbookViewId="0">
      <selection activeCell="M37" sqref="M37"/>
    </sheetView>
  </sheetViews>
  <sheetFormatPr defaultRowHeight="18" x14ac:dyDescent="0.45"/>
  <cols>
    <col min="1" max="2" width="11.59765625" bestFit="1" customWidth="1"/>
    <col min="3" max="3" width="5" customWidth="1"/>
    <col min="4" max="4" width="14.59765625" customWidth="1"/>
    <col min="15" max="15" width="11.69921875" customWidth="1"/>
  </cols>
  <sheetData>
    <row r="1" spans="1:17" x14ac:dyDescent="0.45">
      <c r="C1" s="27"/>
      <c r="D1" s="28" t="s">
        <v>40</v>
      </c>
      <c r="E1" s="28" t="s">
        <v>41</v>
      </c>
      <c r="F1" s="28" t="s">
        <v>42</v>
      </c>
      <c r="G1" s="28" t="s">
        <v>43</v>
      </c>
      <c r="H1" s="29" t="s">
        <v>44</v>
      </c>
      <c r="I1" t="s">
        <v>45</v>
      </c>
      <c r="J1" t="s">
        <v>46</v>
      </c>
      <c r="K1" s="50" t="s">
        <v>265</v>
      </c>
      <c r="L1" s="50"/>
      <c r="M1" s="50" t="s">
        <v>266</v>
      </c>
      <c r="N1" s="50"/>
      <c r="O1" s="1"/>
      <c r="Q1" t="s">
        <v>198</v>
      </c>
    </row>
    <row r="2" spans="1:17" x14ac:dyDescent="0.45">
      <c r="C2" s="30" t="s">
        <v>160</v>
      </c>
      <c r="H2" s="31"/>
      <c r="P2">
        <v>1</v>
      </c>
      <c r="Q2" t="s">
        <v>152</v>
      </c>
    </row>
    <row r="3" spans="1:17" x14ac:dyDescent="0.45">
      <c r="C3" s="30" t="s">
        <v>161</v>
      </c>
      <c r="H3" s="31"/>
      <c r="P3">
        <v>2</v>
      </c>
      <c r="Q3" t="s">
        <v>153</v>
      </c>
    </row>
    <row r="4" spans="1:17" x14ac:dyDescent="0.45">
      <c r="A4">
        <v>4370200380</v>
      </c>
      <c r="C4" s="32" t="s">
        <v>0</v>
      </c>
      <c r="D4" t="s">
        <v>1</v>
      </c>
      <c r="E4" t="s">
        <v>199</v>
      </c>
      <c r="F4" t="s">
        <v>2</v>
      </c>
      <c r="G4" t="s">
        <v>3</v>
      </c>
      <c r="H4" s="31">
        <v>50</v>
      </c>
      <c r="I4" s="40">
        <f>IF(ISERROR(VLOOKUP($A4,データ貼付けシート!$C$3:$G$66,4,FALSE)),0,VLOOKUP($A4,データ貼付けシート!$C$3:$G$66,4,FALSE))</f>
        <v>49</v>
      </c>
      <c r="J4" s="40">
        <f>IF(ISERROR(VLOOKUP($A4,データ貼付けシート!$C$3:$G$66,5,FALSE)),0,VLOOKUP($A4,データ貼付けシート!$C$3:$G$66,5,FALSE))</f>
        <v>93</v>
      </c>
      <c r="P4">
        <v>3</v>
      </c>
      <c r="Q4" t="s">
        <v>191</v>
      </c>
    </row>
    <row r="5" spans="1:17" x14ac:dyDescent="0.45">
      <c r="A5">
        <v>4370200356</v>
      </c>
      <c r="C5" s="32" t="s">
        <v>4</v>
      </c>
      <c r="D5" t="s">
        <v>5</v>
      </c>
      <c r="E5" t="s">
        <v>200</v>
      </c>
      <c r="F5" t="s">
        <v>6</v>
      </c>
      <c r="G5" t="s">
        <v>7</v>
      </c>
      <c r="H5" s="31">
        <v>60</v>
      </c>
      <c r="I5">
        <f>IF(ISERROR(VLOOKUP($A5,データ貼付けシート!$C$3:$G$66,4,FALSE)),0,VLOOKUP($A5,データ貼付けシート!$C$3:$G$66,4,FALSE))</f>
        <v>60</v>
      </c>
      <c r="J5">
        <f>IF(ISERROR(VLOOKUP($A5,データ貼付けシート!$C$3:$G$66,5,FALSE)),0,VLOOKUP($A5,データ貼付けシート!$C$3:$G$66,5,FALSE))</f>
        <v>55</v>
      </c>
      <c r="P5">
        <v>4</v>
      </c>
      <c r="Q5" t="s">
        <v>192</v>
      </c>
    </row>
    <row r="6" spans="1:17" x14ac:dyDescent="0.45">
      <c r="A6">
        <v>4370200414</v>
      </c>
      <c r="C6" s="32" t="s">
        <v>8</v>
      </c>
      <c r="D6" t="s">
        <v>9</v>
      </c>
      <c r="E6" t="s">
        <v>201</v>
      </c>
      <c r="F6" t="s">
        <v>10</v>
      </c>
      <c r="G6" t="s">
        <v>11</v>
      </c>
      <c r="H6" s="31">
        <v>50</v>
      </c>
      <c r="I6">
        <f>IF(ISERROR(VLOOKUP($A6,データ貼付けシート!$C$3:$G$66,4,FALSE)),0,VLOOKUP($A6,データ貼付けシート!$C$3:$G$66,4,FALSE))</f>
        <v>48</v>
      </c>
      <c r="J6">
        <f>IF(ISERROR(VLOOKUP($A6,データ貼付けシート!$C$3:$G$66,5,FALSE)),0,VLOOKUP($A6,データ貼付けシート!$C$3:$G$66,5,FALSE))</f>
        <v>67</v>
      </c>
      <c r="P6">
        <v>5</v>
      </c>
      <c r="Q6" t="s">
        <v>193</v>
      </c>
    </row>
    <row r="7" spans="1:17" x14ac:dyDescent="0.45">
      <c r="A7">
        <v>4370200406</v>
      </c>
      <c r="C7" s="32" t="s">
        <v>12</v>
      </c>
      <c r="D7" t="s">
        <v>13</v>
      </c>
      <c r="E7" t="s">
        <v>202</v>
      </c>
      <c r="F7" t="s">
        <v>14</v>
      </c>
      <c r="G7" t="s">
        <v>15</v>
      </c>
      <c r="H7" s="31">
        <v>50</v>
      </c>
      <c r="I7">
        <f>IF(ISERROR(VLOOKUP($A7,データ貼付けシート!$C$3:$G$66,4,FALSE)),0,VLOOKUP($A7,データ貼付けシート!$C$3:$G$66,4,FALSE))</f>
        <v>50</v>
      </c>
      <c r="J7">
        <f>IF(ISERROR(VLOOKUP($A7,データ貼付けシート!$C$3:$G$66,5,FALSE)),0,VLOOKUP($A7,データ貼付けシート!$C$3:$G$66,5,FALSE))</f>
        <v>58</v>
      </c>
      <c r="P7">
        <v>6</v>
      </c>
      <c r="Q7" t="s">
        <v>194</v>
      </c>
    </row>
    <row r="8" spans="1:17" x14ac:dyDescent="0.45">
      <c r="A8">
        <v>4370200398</v>
      </c>
      <c r="C8" s="32" t="s">
        <v>16</v>
      </c>
      <c r="D8" t="s">
        <v>17</v>
      </c>
      <c r="E8" t="s">
        <v>203</v>
      </c>
      <c r="F8" t="s">
        <v>18</v>
      </c>
      <c r="G8" t="s">
        <v>19</v>
      </c>
      <c r="H8" s="31">
        <v>50</v>
      </c>
      <c r="I8">
        <f>IF(ISERROR(VLOOKUP($A8,データ貼付けシート!$C$3:$G$66,4,FALSE)),0,VLOOKUP($A8,データ貼付けシート!$C$3:$G$66,4,FALSE))</f>
        <v>50</v>
      </c>
      <c r="J8">
        <f>IF(ISERROR(VLOOKUP($A8,データ貼付けシート!$C$3:$G$66,5,FALSE)),0,VLOOKUP($A8,データ貼付けシート!$C$3:$G$66,5,FALSE))</f>
        <v>106</v>
      </c>
      <c r="P8">
        <v>7</v>
      </c>
      <c r="Q8" t="s">
        <v>197</v>
      </c>
    </row>
    <row r="9" spans="1:17" x14ac:dyDescent="0.45">
      <c r="A9">
        <v>4372900797</v>
      </c>
      <c r="C9" s="32" t="s">
        <v>20</v>
      </c>
      <c r="D9" t="s">
        <v>21</v>
      </c>
      <c r="E9" t="s">
        <v>204</v>
      </c>
      <c r="F9" t="s">
        <v>22</v>
      </c>
      <c r="G9" t="s">
        <v>23</v>
      </c>
      <c r="H9" s="31">
        <v>50</v>
      </c>
      <c r="I9">
        <f>IF(ISERROR(VLOOKUP($A9,データ貼付けシート!$C$3:$G$66,4,FALSE)),0,VLOOKUP($A9,データ貼付けシート!$C$3:$G$66,4,FALSE))</f>
        <v>49</v>
      </c>
      <c r="J9">
        <f>IF(ISERROR(VLOOKUP($A9,データ貼付けシート!$C$3:$G$66,5,FALSE)),0,VLOOKUP($A9,データ貼付けシート!$C$3:$G$66,5,FALSE))</f>
        <v>15</v>
      </c>
      <c r="P9">
        <v>8</v>
      </c>
      <c r="Q9" t="s">
        <v>195</v>
      </c>
    </row>
    <row r="10" spans="1:17" x14ac:dyDescent="0.45">
      <c r="A10">
        <v>4372900334</v>
      </c>
      <c r="C10" s="32" t="s">
        <v>24</v>
      </c>
      <c r="D10" t="s">
        <v>25</v>
      </c>
      <c r="E10" t="s">
        <v>205</v>
      </c>
      <c r="F10" t="s">
        <v>26</v>
      </c>
      <c r="G10" t="s">
        <v>27</v>
      </c>
      <c r="H10" s="31">
        <v>50</v>
      </c>
      <c r="I10">
        <f>IF(ISERROR(VLOOKUP($A10,データ貼付けシート!$C$3:$G$66,4,FALSE)),0,VLOOKUP($A10,データ貼付けシート!$C$3:$G$66,4,FALSE))</f>
        <v>50</v>
      </c>
      <c r="J10">
        <f>IF(ISERROR(VLOOKUP($A10,データ貼付けシート!$C$3:$G$66,5,FALSE)),0,VLOOKUP($A10,データ貼付けシート!$C$3:$G$66,5,FALSE))</f>
        <v>78</v>
      </c>
      <c r="P10">
        <v>9</v>
      </c>
      <c r="Q10" t="s">
        <v>196</v>
      </c>
    </row>
    <row r="11" spans="1:17" x14ac:dyDescent="0.45">
      <c r="A11">
        <v>4370202634</v>
      </c>
      <c r="B11">
        <v>4372900664</v>
      </c>
      <c r="C11" s="32" t="s">
        <v>28</v>
      </c>
      <c r="D11" t="s">
        <v>29</v>
      </c>
      <c r="E11" t="s">
        <v>206</v>
      </c>
      <c r="F11" t="s">
        <v>30</v>
      </c>
      <c r="G11" t="s">
        <v>31</v>
      </c>
      <c r="H11" s="31">
        <v>80</v>
      </c>
      <c r="I11">
        <f>SUM(K11,M11)</f>
        <v>80</v>
      </c>
      <c r="J11">
        <f>SUM(L11,N11)</f>
        <v>97</v>
      </c>
      <c r="K11" s="22">
        <f>IF(ISERROR(VLOOKUP($A11,データ貼付けシート!$C$3:$G$63,4,FALSE)),0,VLOOKUP($A11,データ貼付けシート!$C$3:$G$63,4,FALSE))</f>
        <v>0</v>
      </c>
      <c r="L11" s="22">
        <f>IF(ISERROR(VLOOKUP($A11,データ貼付けシート!$C$3:$G$63,5,FALSE)),0,VLOOKUP($A11,データ貼付けシート!$C$3:$G$63,5,FALSE))</f>
        <v>0</v>
      </c>
      <c r="M11" s="22">
        <f>IF(ISERROR(VLOOKUP($B11,データ貼付けシート!$C$3:$G$63,4,FALSE)),0,VLOOKUP($B11,データ貼付けシート!$C$3:$G$63,4,FALSE))</f>
        <v>80</v>
      </c>
      <c r="N11" s="22">
        <f>IF(ISERROR(VLOOKUP($B11,データ貼付けシート!$C$3:$G$63,5,FALSE)),0,VLOOKUP($B11,データ貼付けシート!$C$3:$G$63,5,FALSE))</f>
        <v>97</v>
      </c>
    </row>
    <row r="12" spans="1:17" x14ac:dyDescent="0.45">
      <c r="A12">
        <v>4372900367</v>
      </c>
      <c r="C12" s="32" t="s">
        <v>32</v>
      </c>
      <c r="D12" t="s">
        <v>33</v>
      </c>
      <c r="E12" t="s">
        <v>207</v>
      </c>
      <c r="F12" t="s">
        <v>34</v>
      </c>
      <c r="G12" t="s">
        <v>35</v>
      </c>
      <c r="H12" s="31">
        <v>30</v>
      </c>
      <c r="I12">
        <f>IF(ISERROR(VLOOKUP($A12,データ貼付けシート!$C$3:$G$66,4,FALSE)),0,VLOOKUP($A12,データ貼付けシート!$C$3:$G$66,4,FALSE))</f>
        <v>30</v>
      </c>
      <c r="J12">
        <f>IF(ISERROR(VLOOKUP($A12,データ貼付けシート!$C$3:$G$66,5,FALSE)),0,VLOOKUP($A12,データ貼付けシート!$C$3:$G$66,5,FALSE))</f>
        <v>53</v>
      </c>
    </row>
    <row r="13" spans="1:17" x14ac:dyDescent="0.45">
      <c r="A13">
        <v>4370202071</v>
      </c>
      <c r="C13" s="32">
        <v>10</v>
      </c>
      <c r="D13" t="s">
        <v>36</v>
      </c>
      <c r="E13" t="s">
        <v>37</v>
      </c>
      <c r="F13" t="s">
        <v>38</v>
      </c>
      <c r="G13" t="s">
        <v>7</v>
      </c>
      <c r="H13" s="31">
        <v>60</v>
      </c>
      <c r="I13">
        <f>IF(ISERROR(VLOOKUP($A13,データ貼付けシート!$C$3:$G$66,4,FALSE)),0,VLOOKUP($A13,データ貼付けシート!$C$3:$G$66,4,FALSE))</f>
        <v>60</v>
      </c>
      <c r="J13">
        <f>IF(ISERROR(VLOOKUP($A13,データ貼付けシート!$C$3:$G$66,5,FALSE)),0,VLOOKUP($A13,データ貼付けシート!$C$3:$G$66,5,FALSE))</f>
        <v>39</v>
      </c>
    </row>
    <row r="14" spans="1:17" x14ac:dyDescent="0.45">
      <c r="C14" s="30" t="s">
        <v>162</v>
      </c>
      <c r="H14" s="31"/>
    </row>
    <row r="15" spans="1:17" x14ac:dyDescent="0.45">
      <c r="C15" s="30" t="s">
        <v>268</v>
      </c>
      <c r="D15" s="1"/>
      <c r="H15" s="31"/>
    </row>
    <row r="16" spans="1:17" x14ac:dyDescent="0.45">
      <c r="A16">
        <v>4390200162</v>
      </c>
      <c r="C16" s="32" t="s">
        <v>0</v>
      </c>
      <c r="D16" t="s">
        <v>51</v>
      </c>
      <c r="E16" t="s">
        <v>208</v>
      </c>
      <c r="F16" t="s">
        <v>154</v>
      </c>
      <c r="G16" t="s">
        <v>52</v>
      </c>
      <c r="H16" s="31">
        <v>29</v>
      </c>
      <c r="I16">
        <f>IF(ISERROR(VLOOKUP($A16,データ貼付けシート!$C$3:$G$66,4,FALSE)),0,VLOOKUP($A16,データ貼付けシート!$C$3:$G$66,4,FALSE))</f>
        <v>28</v>
      </c>
      <c r="J16">
        <f>IF(ISERROR(VLOOKUP($A16,データ貼付けシート!$C$3:$G$66,5,FALSE)),0,VLOOKUP($A16,データ貼付けシート!$C$3:$G$66,5,FALSE))</f>
        <v>17</v>
      </c>
    </row>
    <row r="17" spans="1:14" x14ac:dyDescent="0.45">
      <c r="A17">
        <v>4390200261</v>
      </c>
      <c r="C17" s="32" t="s">
        <v>4</v>
      </c>
      <c r="D17" t="s">
        <v>53</v>
      </c>
      <c r="E17" t="s">
        <v>209</v>
      </c>
      <c r="F17" t="s">
        <v>155</v>
      </c>
      <c r="G17" t="s">
        <v>54</v>
      </c>
      <c r="H17" s="31">
        <v>29</v>
      </c>
      <c r="I17">
        <f>IF(ISERROR(VLOOKUP($A17,データ貼付けシート!$C$3:$G$66,4,FALSE)),0,VLOOKUP($A17,データ貼付けシート!$C$3:$G$66,4,FALSE))</f>
        <v>29</v>
      </c>
      <c r="J17">
        <f>IF(ISERROR(VLOOKUP($A17,データ貼付けシート!$C$3:$G$66,5,FALSE)),0,VLOOKUP($A17,データ貼付けシート!$C$3:$G$66,5,FALSE))</f>
        <v>33</v>
      </c>
    </row>
    <row r="18" spans="1:14" x14ac:dyDescent="0.45">
      <c r="A18">
        <v>4390200279</v>
      </c>
      <c r="C18" s="32" t="s">
        <v>8</v>
      </c>
      <c r="D18" t="s">
        <v>55</v>
      </c>
      <c r="E18" t="s">
        <v>210</v>
      </c>
      <c r="F18" t="s">
        <v>156</v>
      </c>
      <c r="G18" t="s">
        <v>56</v>
      </c>
      <c r="H18" s="31">
        <v>29</v>
      </c>
      <c r="I18">
        <f>IF(ISERROR(VLOOKUP($A18,データ貼付けシート!$C$3:$G$66,4,FALSE)),0,VLOOKUP($A18,データ貼付けシート!$C$3:$G$66,4,FALSE))</f>
        <v>29</v>
      </c>
      <c r="J18">
        <f>IF(ISERROR(VLOOKUP($A18,データ貼付けシート!$C$3:$G$66,5,FALSE)),0,VLOOKUP($A18,データ貼付けシート!$C$3:$G$66,5,FALSE))</f>
        <v>50</v>
      </c>
    </row>
    <row r="19" spans="1:14" x14ac:dyDescent="0.45">
      <c r="A19">
        <v>4390200378</v>
      </c>
      <c r="C19" s="32">
        <v>4</v>
      </c>
      <c r="D19" t="s">
        <v>57</v>
      </c>
      <c r="E19" t="s">
        <v>211</v>
      </c>
      <c r="F19" t="s">
        <v>157</v>
      </c>
      <c r="G19" t="s">
        <v>158</v>
      </c>
      <c r="H19" s="31">
        <v>29</v>
      </c>
      <c r="I19">
        <f>IF(ISERROR(VLOOKUP($A19,データ貼付けシート!$C$3:$G$66,4,FALSE)),0,VLOOKUP($A19,データ貼付けシート!$C$3:$G$66,4,FALSE))</f>
        <v>29</v>
      </c>
      <c r="J19">
        <f>IF(ISERROR(VLOOKUP($A19,データ貼付けシート!$C$3:$G$66,5,FALSE)),0,VLOOKUP($A19,データ貼付けシート!$C$3:$G$66,5,FALSE))</f>
        <v>97</v>
      </c>
    </row>
    <row r="20" spans="1:14" x14ac:dyDescent="0.45">
      <c r="A20">
        <v>4390200451</v>
      </c>
      <c r="C20" s="32">
        <v>5</v>
      </c>
      <c r="D20" t="s">
        <v>58</v>
      </c>
      <c r="E20" t="s">
        <v>59</v>
      </c>
      <c r="F20" t="s">
        <v>159</v>
      </c>
      <c r="G20" t="s">
        <v>60</v>
      </c>
      <c r="H20" s="31">
        <v>29</v>
      </c>
      <c r="I20">
        <f>IF(ISERROR(VLOOKUP($A20,データ貼付けシート!$C$3:$G$66,4,FALSE)),0,VLOOKUP($A20,データ貼付けシート!$C$3:$G$66,4,FALSE))</f>
        <v>24</v>
      </c>
      <c r="J20">
        <f>IF(ISERROR(VLOOKUP($A20,データ貼付けシート!$C$3:$G$66,5,FALSE)),0,VLOOKUP($A20,データ貼付けシート!$C$3:$G$66,5,FALSE))</f>
        <v>49</v>
      </c>
    </row>
    <row r="21" spans="1:14" x14ac:dyDescent="0.45">
      <c r="C21" s="30" t="s">
        <v>61</v>
      </c>
      <c r="H21" s="31"/>
    </row>
    <row r="22" spans="1:14" x14ac:dyDescent="0.45">
      <c r="C22" s="30" t="s">
        <v>163</v>
      </c>
      <c r="H22" s="31"/>
    </row>
    <row r="23" spans="1:14" x14ac:dyDescent="0.45">
      <c r="A23">
        <v>4350280048</v>
      </c>
      <c r="C23" s="32" t="s">
        <v>0</v>
      </c>
      <c r="D23" t="s">
        <v>62</v>
      </c>
      <c r="E23" t="s">
        <v>212</v>
      </c>
      <c r="F23" t="s">
        <v>63</v>
      </c>
      <c r="G23" t="s">
        <v>64</v>
      </c>
      <c r="H23" s="31">
        <v>75</v>
      </c>
      <c r="I23">
        <f>IF(ISERROR(VLOOKUP($A23,データ貼付けシート!$C$3:$G$66,4,FALSE)),0,VLOOKUP($A23,データ貼付けシート!$C$3:$G$66,4,FALSE))</f>
        <v>70</v>
      </c>
      <c r="J23">
        <f>IF(ISERROR(VLOOKUP($A23,データ貼付けシート!$C$3:$G$66,5,FALSE)),0,VLOOKUP($A23,データ貼付けシート!$C$3:$G$66,5,FALSE))</f>
        <v>3</v>
      </c>
    </row>
    <row r="24" spans="1:14" x14ac:dyDescent="0.45">
      <c r="A24">
        <v>4350280063</v>
      </c>
      <c r="B24">
        <v>4350280022</v>
      </c>
      <c r="C24" s="32" t="s">
        <v>4</v>
      </c>
      <c r="D24" t="s">
        <v>65</v>
      </c>
      <c r="E24" t="s">
        <v>213</v>
      </c>
      <c r="F24" t="s">
        <v>66</v>
      </c>
      <c r="G24" t="s">
        <v>67</v>
      </c>
      <c r="H24" s="31">
        <v>80</v>
      </c>
      <c r="I24">
        <f>SUM(K24,M24)</f>
        <v>80</v>
      </c>
      <c r="J24">
        <f>SUM(L24,N24)</f>
        <v>4</v>
      </c>
      <c r="K24" s="22">
        <f>IF(ISERROR(VLOOKUP($A24,データ貼付けシート!$C$3:$G$63,4,FALSE)),0,VLOOKUP($A24,データ貼付けシート!$C$3:$G$63,4,FALSE))</f>
        <v>0</v>
      </c>
      <c r="L24" s="22">
        <f>IF(ISERROR(VLOOKUP($A24,データ貼付けシート!$C$3:$G$63,5,FALSE)),0,VLOOKUP($A24,データ貼付けシート!$C$3:$G$63,5,FALSE))</f>
        <v>0</v>
      </c>
      <c r="M24" s="22">
        <f>IF(ISERROR(VLOOKUP($B24,データ貼付けシート!$C$3:$G$63,4,FALSE)),0,VLOOKUP($B24,データ貼付けシート!$C$3:$G$63,4,FALSE))</f>
        <v>80</v>
      </c>
      <c r="N24" s="22">
        <f>IF(ISERROR(VLOOKUP($B24,データ貼付けシート!$C$3:$G$63,5,FALSE)),0,VLOOKUP($B24,データ貼付けシート!$C$3:$G$63,5,FALSE))</f>
        <v>4</v>
      </c>
    </row>
    <row r="25" spans="1:14" x14ac:dyDescent="0.45">
      <c r="A25">
        <v>4350280030</v>
      </c>
      <c r="C25" s="32" t="s">
        <v>8</v>
      </c>
      <c r="D25" t="s">
        <v>68</v>
      </c>
      <c r="E25" t="s">
        <v>214</v>
      </c>
      <c r="F25" t="s">
        <v>69</v>
      </c>
      <c r="G25" t="s">
        <v>70</v>
      </c>
      <c r="H25" s="31">
        <v>85</v>
      </c>
      <c r="I25">
        <f>IF(ISERROR(VLOOKUP($A25,データ貼付けシート!$C$3:$G$66,4,FALSE)),0,VLOOKUP($A25,データ貼付けシート!$C$3:$G$66,4,FALSE))</f>
        <v>68</v>
      </c>
      <c r="J25">
        <f>IF(ISERROR(VLOOKUP($A25,データ貼付けシート!$C$3:$G$66,5,FALSE)),0,VLOOKUP($A25,データ貼付けシート!$C$3:$G$66,5,FALSE))</f>
        <v>5</v>
      </c>
    </row>
    <row r="26" spans="1:14" x14ac:dyDescent="0.45">
      <c r="A26">
        <v>4350280071</v>
      </c>
      <c r="B26">
        <v>4350280055</v>
      </c>
      <c r="C26" s="32" t="s">
        <v>12</v>
      </c>
      <c r="D26" t="s">
        <v>164</v>
      </c>
      <c r="E26" t="s">
        <v>215</v>
      </c>
      <c r="F26" t="s">
        <v>71</v>
      </c>
      <c r="G26" t="s">
        <v>72</v>
      </c>
      <c r="H26" s="31">
        <v>100</v>
      </c>
      <c r="I26">
        <f>IF(SUM(K26,M26)&gt;H26,M26,SUM(K26,M26))</f>
        <v>76</v>
      </c>
      <c r="J26">
        <f>IF(SUM(K26,M26)&gt;H26,N26,SUM(L26,N26))</f>
        <v>42</v>
      </c>
      <c r="K26" s="22">
        <f>IF(ISERROR(VLOOKUP($A26,データ貼付けシート!$C$3:$G$63,4,FALSE)),0,VLOOKUP($A26,データ貼付けシート!$C$3:$G$63,4,FALSE))</f>
        <v>47</v>
      </c>
      <c r="L26" s="22">
        <f>IF(ISERROR(VLOOKUP($A26,データ貼付けシート!$C$3:$G$63,5,FALSE)),0,VLOOKUP($A26,データ貼付けシート!$C$3:$G$63,5,FALSE))</f>
        <v>8</v>
      </c>
      <c r="M26" s="22">
        <f>IF(ISERROR(VLOOKUP($B26,データ貼付けシート!$C$3:$G$63,4,FALSE)),0,VLOOKUP($B26,データ貼付けシート!$C$3:$G$63,4,FALSE))</f>
        <v>76</v>
      </c>
      <c r="N26" s="22">
        <f>IF(ISERROR(VLOOKUP($B26,データ貼付けシート!$C$3:$G$63,5,FALSE)),0,VLOOKUP($B26,データ貼付けシート!$C$3:$G$63,5,FALSE))</f>
        <v>42</v>
      </c>
    </row>
    <row r="27" spans="1:14" x14ac:dyDescent="0.45">
      <c r="A27">
        <v>4350280014</v>
      </c>
      <c r="C27" s="32" t="s">
        <v>16</v>
      </c>
      <c r="D27" t="s">
        <v>73</v>
      </c>
      <c r="E27" t="s">
        <v>216</v>
      </c>
      <c r="F27" t="s">
        <v>74</v>
      </c>
      <c r="G27" t="s">
        <v>47</v>
      </c>
      <c r="H27" s="31">
        <v>80</v>
      </c>
      <c r="I27">
        <f>IF(ISERROR(VLOOKUP($A27,データ貼付けシート!$C$3:$G$66,4,FALSE)),0,VLOOKUP($A27,データ貼付けシート!$C$3:$G$66,4,FALSE))</f>
        <v>79</v>
      </c>
      <c r="J27">
        <f>IF(ISERROR(VLOOKUP($A27,データ貼付けシート!$C$3:$G$66,5,FALSE)),0,VLOOKUP($A27,データ貼付けシート!$C$3:$G$66,5,FALSE))</f>
        <v>2</v>
      </c>
    </row>
    <row r="28" spans="1:14" x14ac:dyDescent="0.45">
      <c r="A28">
        <v>4352980025</v>
      </c>
      <c r="C28" s="32" t="s">
        <v>20</v>
      </c>
      <c r="D28" t="s">
        <v>75</v>
      </c>
      <c r="E28" t="s">
        <v>217</v>
      </c>
      <c r="F28" t="s">
        <v>76</v>
      </c>
      <c r="G28" t="s">
        <v>77</v>
      </c>
      <c r="H28" s="31">
        <v>80</v>
      </c>
      <c r="I28">
        <f>IF(ISERROR(VLOOKUP($A28,データ貼付けシート!$C$3:$G$66,4,FALSE)),0,VLOOKUP($A28,データ貼付けシート!$C$3:$G$66,4,FALSE))</f>
        <v>70</v>
      </c>
      <c r="J28">
        <f>IF(ISERROR(VLOOKUP($A28,データ貼付けシート!$C$3:$G$66,5,FALSE)),0,VLOOKUP($A28,データ貼付けシート!$C$3:$G$66,5,FALSE))</f>
        <v>6</v>
      </c>
    </row>
    <row r="29" spans="1:14" x14ac:dyDescent="0.45">
      <c r="C29" s="30" t="s">
        <v>78</v>
      </c>
      <c r="H29" s="31"/>
    </row>
    <row r="30" spans="1:14" x14ac:dyDescent="0.45">
      <c r="C30" s="30" t="s">
        <v>165</v>
      </c>
      <c r="H30" s="31"/>
    </row>
    <row r="31" spans="1:14" x14ac:dyDescent="0.45">
      <c r="A31" t="s">
        <v>258</v>
      </c>
      <c r="C31" s="32">
        <v>1</v>
      </c>
      <c r="D31" t="s">
        <v>79</v>
      </c>
      <c r="E31" t="s">
        <v>218</v>
      </c>
      <c r="F31" t="s">
        <v>80</v>
      </c>
      <c r="G31" t="s">
        <v>81</v>
      </c>
      <c r="H31" s="31">
        <v>35</v>
      </c>
      <c r="I31">
        <f>IF(ISERROR(VLOOKUP($A31,データ貼付けシート!$C$3:$G$66,4,FALSE)),0,VLOOKUP($A31,データ貼付けシート!$C$3:$G$66,4,FALSE))</f>
        <v>35</v>
      </c>
      <c r="J31">
        <f>IF(ISERROR(VLOOKUP($A31,データ貼付けシート!$C$3:$G$66,5,FALSE)),0,VLOOKUP($A31,データ貼付けシート!$C$3:$G$66,5,FALSE))</f>
        <v>1</v>
      </c>
    </row>
    <row r="32" spans="1:14" x14ac:dyDescent="0.45">
      <c r="A32" t="s">
        <v>259</v>
      </c>
      <c r="C32" s="32">
        <v>2</v>
      </c>
      <c r="D32" t="s">
        <v>82</v>
      </c>
      <c r="E32" t="s">
        <v>219</v>
      </c>
      <c r="F32" t="s">
        <v>83</v>
      </c>
      <c r="G32" t="s">
        <v>84</v>
      </c>
      <c r="H32" s="31">
        <v>33</v>
      </c>
      <c r="I32">
        <f>IF(ISERROR(VLOOKUP($A32,データ貼付けシート!$C$3:$G$66,4,FALSE)),0,VLOOKUP($A32,データ貼付けシート!$C$3:$G$66,4,FALSE))</f>
        <v>31</v>
      </c>
      <c r="J32">
        <f>IF(ISERROR(VLOOKUP($A32,データ貼付けシート!$C$3:$G$66,5,FALSE)),0,VLOOKUP($A32,データ貼付けシート!$C$3:$G$66,5,FALSE))</f>
        <v>3</v>
      </c>
    </row>
    <row r="33" spans="1:10" x14ac:dyDescent="0.45">
      <c r="C33" s="30" t="s">
        <v>85</v>
      </c>
      <c r="H33" s="31"/>
    </row>
    <row r="34" spans="1:10" x14ac:dyDescent="0.45">
      <c r="C34" s="30" t="s">
        <v>166</v>
      </c>
      <c r="H34" s="31"/>
    </row>
    <row r="35" spans="1:10" x14ac:dyDescent="0.45">
      <c r="A35">
        <v>4370201123</v>
      </c>
      <c r="C35" s="32">
        <v>1</v>
      </c>
      <c r="D35" t="s">
        <v>167</v>
      </c>
      <c r="E35" t="s">
        <v>220</v>
      </c>
      <c r="F35" t="s">
        <v>86</v>
      </c>
      <c r="G35" t="s">
        <v>87</v>
      </c>
      <c r="H35" s="31">
        <v>20</v>
      </c>
      <c r="I35">
        <f>IF(ISERROR(VLOOKUP($A35,データ貼付けシート!$C$3:$G$66,4,FALSE)),0,VLOOKUP($A35,データ貼付けシート!$C$3:$G$66,4,FALSE))</f>
        <v>18</v>
      </c>
      <c r="J35">
        <f>IF(ISERROR(VLOOKUP($A35,データ貼付けシート!$C$3:$G$66,5,FALSE)),0,VLOOKUP($A35,データ貼付けシート!$C$3:$G$66,5,FALSE))</f>
        <v>0</v>
      </c>
    </row>
    <row r="36" spans="1:10" x14ac:dyDescent="0.45">
      <c r="A36">
        <v>4370203004</v>
      </c>
      <c r="C36" s="32">
        <v>2</v>
      </c>
      <c r="D36" t="s">
        <v>168</v>
      </c>
      <c r="E36" t="s">
        <v>221</v>
      </c>
      <c r="F36" t="s">
        <v>169</v>
      </c>
      <c r="G36" t="s">
        <v>87</v>
      </c>
      <c r="H36" s="31">
        <v>30</v>
      </c>
      <c r="I36">
        <f>IF(ISERROR(VLOOKUP($A36,データ貼付けシート!$C$3:$G$66,4,FALSE)),0,VLOOKUP($A36,データ貼付けシート!$C$3:$G$66,4,FALSE))</f>
        <v>27</v>
      </c>
      <c r="J36">
        <f>IF(ISERROR(VLOOKUP($A36,データ貼付けシート!$C$3:$G$66,5,FALSE)),0,VLOOKUP($A36,データ貼付けシート!$C$3:$G$66,5,FALSE))</f>
        <v>0</v>
      </c>
    </row>
    <row r="37" spans="1:10" x14ac:dyDescent="0.45">
      <c r="A37">
        <v>4370202899</v>
      </c>
      <c r="C37" s="32">
        <v>3</v>
      </c>
      <c r="D37" t="s">
        <v>282</v>
      </c>
      <c r="E37" t="s">
        <v>286</v>
      </c>
      <c r="F37" t="s">
        <v>283</v>
      </c>
      <c r="G37" t="s">
        <v>11</v>
      </c>
      <c r="H37" s="31">
        <v>50</v>
      </c>
      <c r="I37">
        <f>IF(ISERROR(VLOOKUP($A37,データ貼付けシート!$C$3:$G$66,4,FALSE)),0,VLOOKUP($A37,データ貼付けシート!$C$3:$G$66,4,FALSE))</f>
        <v>50</v>
      </c>
      <c r="J37">
        <f>IF(ISERROR(VLOOKUP($A37,データ貼付けシート!$C$3:$G$66,5,FALSE)),0,VLOOKUP($A37,データ貼付けシート!$C$3:$G$66,5,FALSE))</f>
        <v>17</v>
      </c>
    </row>
    <row r="38" spans="1:10" x14ac:dyDescent="0.45">
      <c r="A38">
        <v>4370203442</v>
      </c>
      <c r="C38" s="32">
        <v>4</v>
      </c>
      <c r="D38" t="s">
        <v>284</v>
      </c>
      <c r="E38" t="s">
        <v>287</v>
      </c>
      <c r="F38" t="s">
        <v>285</v>
      </c>
      <c r="G38" t="s">
        <v>11</v>
      </c>
      <c r="H38" s="31">
        <v>40</v>
      </c>
      <c r="I38">
        <f>IF(ISERROR(VLOOKUP($A38,データ貼付けシート!$C$3:$G$66,4,FALSE)),0,VLOOKUP($A38,データ貼付けシート!$C$3:$G$66,4,FALSE))</f>
        <v>38</v>
      </c>
      <c r="J38">
        <f>IF(ISERROR(VLOOKUP($A38,データ貼付けシート!$C$3:$G$66,5,FALSE)),0,VLOOKUP($A38,データ貼付けシート!$C$3:$G$66,5,FALSE))</f>
        <v>2</v>
      </c>
    </row>
    <row r="39" spans="1:10" x14ac:dyDescent="0.45">
      <c r="C39" s="30" t="s">
        <v>170</v>
      </c>
      <c r="H39" s="31"/>
    </row>
    <row r="40" spans="1:10" x14ac:dyDescent="0.45">
      <c r="C40" s="30" t="s">
        <v>269</v>
      </c>
      <c r="H40" s="31"/>
    </row>
    <row r="41" spans="1:10" x14ac:dyDescent="0.45">
      <c r="A41">
        <v>4390200188</v>
      </c>
      <c r="C41" s="32" t="s">
        <v>0</v>
      </c>
      <c r="D41" t="s">
        <v>88</v>
      </c>
      <c r="E41" t="s">
        <v>222</v>
      </c>
      <c r="F41" t="s">
        <v>89</v>
      </c>
      <c r="G41" t="s">
        <v>90</v>
      </c>
      <c r="H41" s="31">
        <v>29</v>
      </c>
      <c r="I41">
        <f>IF(ISERROR(VLOOKUP($A41,データ貼付けシート!$C$3:$G$66,4,FALSE)),0,VLOOKUP($A41,データ貼付けシート!$C$3:$G$66,4,FALSE))</f>
        <v>28</v>
      </c>
      <c r="J41">
        <f>IF(ISERROR(VLOOKUP($A41,データ貼付けシート!$C$3:$G$66,5,FALSE)),0,VLOOKUP($A41,データ貼付けシート!$C$3:$G$66,5,FALSE))</f>
        <v>0</v>
      </c>
    </row>
    <row r="42" spans="1:10" x14ac:dyDescent="0.45">
      <c r="C42" s="30" t="s">
        <v>91</v>
      </c>
      <c r="H42" s="31"/>
    </row>
    <row r="43" spans="1:10" x14ac:dyDescent="0.45">
      <c r="C43" s="30" t="s">
        <v>270</v>
      </c>
      <c r="H43" s="31"/>
    </row>
    <row r="44" spans="1:10" x14ac:dyDescent="0.45">
      <c r="A44">
        <v>4360290003</v>
      </c>
      <c r="C44" s="32">
        <v>1</v>
      </c>
      <c r="D44" t="s">
        <v>171</v>
      </c>
      <c r="E44" t="s">
        <v>223</v>
      </c>
      <c r="F44" t="s">
        <v>92</v>
      </c>
      <c r="G44" t="s">
        <v>93</v>
      </c>
      <c r="H44" s="31">
        <v>9</v>
      </c>
      <c r="I44">
        <f>IF(ISERROR(VLOOKUP($A44,データ貼付けシート!$C$3:$G$66,4,FALSE)),0,VLOOKUP($A44,データ貼付けシート!$C$3:$G$66,4,FALSE))</f>
        <v>9</v>
      </c>
      <c r="J44">
        <f>IF(ISERROR(VLOOKUP($A44,データ貼付けシート!$C$3:$G$66,5,FALSE)),0,VLOOKUP($A44,データ貼付けシート!$C$3:$G$66,5,FALSE))</f>
        <v>11</v>
      </c>
    </row>
    <row r="45" spans="1:10" x14ac:dyDescent="0.45">
      <c r="A45">
        <v>4370200984</v>
      </c>
      <c r="C45" s="32">
        <v>2</v>
      </c>
      <c r="D45" t="s">
        <v>94</v>
      </c>
      <c r="E45" t="s">
        <v>224</v>
      </c>
      <c r="F45" t="s">
        <v>14</v>
      </c>
      <c r="G45" t="s">
        <v>49</v>
      </c>
      <c r="H45" s="31">
        <v>9</v>
      </c>
      <c r="I45">
        <f>IF(ISERROR(VLOOKUP($A45,データ貼付けシート!$C$3:$G$66,4,FALSE)),0,VLOOKUP($A45,データ貼付けシート!$C$3:$G$66,4,FALSE))</f>
        <v>9</v>
      </c>
      <c r="J45">
        <f>IF(ISERROR(VLOOKUP($A45,データ貼付けシート!$C$3:$G$66,5,FALSE)),0,VLOOKUP($A45,データ貼付けシート!$C$3:$G$66,5,FALSE))</f>
        <v>7</v>
      </c>
    </row>
    <row r="46" spans="1:10" x14ac:dyDescent="0.45">
      <c r="A46">
        <v>4370201008</v>
      </c>
      <c r="C46" s="32">
        <v>3</v>
      </c>
      <c r="D46" t="s">
        <v>95</v>
      </c>
      <c r="E46" t="s">
        <v>225</v>
      </c>
      <c r="F46" t="s">
        <v>96</v>
      </c>
      <c r="G46" t="s">
        <v>67</v>
      </c>
      <c r="H46" s="31">
        <v>18</v>
      </c>
      <c r="I46">
        <f>IF(ISERROR(VLOOKUP($A46,データ貼付けシート!$C$3:$G$66,4,FALSE)),0,VLOOKUP($A46,データ貼付けシート!$C$3:$G$66,4,FALSE))</f>
        <v>18</v>
      </c>
      <c r="J46">
        <f>IF(ISERROR(VLOOKUP($A46,データ貼付けシート!$C$3:$G$66,5,FALSE)),0,VLOOKUP($A46,データ貼付けシート!$C$3:$G$66,5,FALSE))</f>
        <v>10</v>
      </c>
    </row>
    <row r="47" spans="1:10" x14ac:dyDescent="0.45">
      <c r="A47">
        <v>4370201446</v>
      </c>
      <c r="C47" s="32">
        <v>4</v>
      </c>
      <c r="D47" t="s">
        <v>97</v>
      </c>
      <c r="E47" t="s">
        <v>226</v>
      </c>
      <c r="F47" t="s">
        <v>98</v>
      </c>
      <c r="G47" t="s">
        <v>99</v>
      </c>
      <c r="H47" s="31">
        <v>18</v>
      </c>
      <c r="I47">
        <f>IF(ISERROR(VLOOKUP($A47,データ貼付けシート!$C$3:$G$66,4,FALSE)),0,VLOOKUP($A47,データ貼付けシート!$C$3:$G$66,4,FALSE))</f>
        <v>13</v>
      </c>
      <c r="J47">
        <f>IF(ISERROR(VLOOKUP($A47,データ貼付けシート!$C$3:$G$66,5,FALSE)),0,VLOOKUP($A47,データ貼付けシート!$C$3:$G$66,5,FALSE))</f>
        <v>3</v>
      </c>
    </row>
    <row r="48" spans="1:10" x14ac:dyDescent="0.45">
      <c r="A48">
        <v>4372900698</v>
      </c>
      <c r="C48" s="32">
        <v>5</v>
      </c>
      <c r="D48" t="s">
        <v>100</v>
      </c>
      <c r="E48" t="s">
        <v>227</v>
      </c>
      <c r="F48" t="s">
        <v>101</v>
      </c>
      <c r="G48" t="s">
        <v>50</v>
      </c>
      <c r="H48" s="31">
        <v>18</v>
      </c>
      <c r="I48">
        <f>IF(ISERROR(VLOOKUP($A48,データ貼付けシート!$C$3:$G$66,4,FALSE)),0,VLOOKUP($A48,データ貼付けシート!$C$3:$G$66,4,FALSE))</f>
        <v>18</v>
      </c>
      <c r="J48">
        <f>IF(ISERROR(VLOOKUP($A48,データ貼付けシート!$C$3:$G$66,5,FALSE)),0,VLOOKUP($A48,データ貼付けシート!$C$3:$G$66,5,FALSE))</f>
        <v>12</v>
      </c>
    </row>
    <row r="49" spans="1:10" x14ac:dyDescent="0.45">
      <c r="A49">
        <v>4372900748</v>
      </c>
      <c r="C49" s="32">
        <v>6</v>
      </c>
      <c r="D49" t="s">
        <v>172</v>
      </c>
      <c r="E49" t="s">
        <v>228</v>
      </c>
      <c r="F49" t="s">
        <v>102</v>
      </c>
      <c r="G49" t="s">
        <v>103</v>
      </c>
      <c r="H49" s="31">
        <v>18</v>
      </c>
      <c r="I49">
        <f>IF(ISERROR(VLOOKUP($A49,データ貼付けシート!$C$3:$G$66,4,FALSE)),0,VLOOKUP($A49,データ貼付けシート!$C$3:$G$66,4,FALSE))</f>
        <v>18</v>
      </c>
      <c r="J49">
        <f>IF(ISERROR(VLOOKUP($A49,データ貼付けシート!$C$3:$G$66,5,FALSE)),0,VLOOKUP($A49,データ貼付けシート!$C$3:$G$66,5,FALSE))</f>
        <v>3</v>
      </c>
    </row>
    <row r="50" spans="1:10" x14ac:dyDescent="0.45">
      <c r="A50">
        <v>4372900755</v>
      </c>
      <c r="C50" s="32">
        <v>7</v>
      </c>
      <c r="D50" t="s">
        <v>104</v>
      </c>
      <c r="E50" t="s">
        <v>229</v>
      </c>
      <c r="F50" t="s">
        <v>173</v>
      </c>
      <c r="G50" t="s">
        <v>105</v>
      </c>
      <c r="H50" s="31">
        <v>9</v>
      </c>
      <c r="I50">
        <f>IF(ISERROR(VLOOKUP($A50,データ貼付けシート!$C$3:$G$66,4,FALSE)),0,VLOOKUP($A50,データ貼付けシート!$C$3:$G$66,4,FALSE))</f>
        <v>9</v>
      </c>
      <c r="J50">
        <f>IF(ISERROR(VLOOKUP($A50,データ貼付けシート!$C$3:$G$66,5,FALSE)),0,VLOOKUP($A50,データ貼付けシート!$C$3:$G$66,5,FALSE))</f>
        <v>12</v>
      </c>
    </row>
    <row r="51" spans="1:10" x14ac:dyDescent="0.45">
      <c r="A51">
        <v>4390200014</v>
      </c>
      <c r="C51" s="32">
        <v>8</v>
      </c>
      <c r="D51" t="s">
        <v>281</v>
      </c>
      <c r="E51" t="s">
        <v>230</v>
      </c>
      <c r="F51" t="s">
        <v>106</v>
      </c>
      <c r="G51" t="s">
        <v>107</v>
      </c>
      <c r="H51" s="31">
        <v>9</v>
      </c>
      <c r="I51" t="str">
        <f>IF(ISERROR(VLOOKUP($A51,データ貼付けシート!$C$3:$G$63,4,FALSE)),0,VLOOKUP($A51,データ貼付けシート!$C$3:$G$63,4,FALSE))</f>
        <v>―</v>
      </c>
      <c r="J51" t="str">
        <f>IF(ISERROR(VLOOKUP($A51,データ貼付けシート!$C$3:$G$63,5,FALSE)),0,VLOOKUP($A51,データ貼付けシート!$C$3:$G$63,5,FALSE))</f>
        <v>―</v>
      </c>
    </row>
    <row r="52" spans="1:10" x14ac:dyDescent="0.45">
      <c r="A52">
        <v>4390200097</v>
      </c>
      <c r="C52" s="32">
        <v>9</v>
      </c>
      <c r="D52" t="s">
        <v>108</v>
      </c>
      <c r="E52" t="s">
        <v>231</v>
      </c>
      <c r="F52" t="s">
        <v>109</v>
      </c>
      <c r="G52" t="s">
        <v>110</v>
      </c>
      <c r="H52" s="31">
        <v>9</v>
      </c>
      <c r="I52">
        <f>IF(ISERROR(VLOOKUP($A52,データ貼付けシート!$C$3:$G$66,4,FALSE)),0,VLOOKUP($A52,データ貼付けシート!$C$3:$G$66,4,FALSE))</f>
        <v>9</v>
      </c>
      <c r="J52">
        <f>IF(ISERROR(VLOOKUP($A52,データ貼付けシート!$C$3:$G$66,5,FALSE)),0,VLOOKUP($A52,データ貼付けシート!$C$3:$G$66,5,FALSE))</f>
        <v>2</v>
      </c>
    </row>
    <row r="53" spans="1:10" x14ac:dyDescent="0.45">
      <c r="A53">
        <v>4390200063</v>
      </c>
      <c r="C53" s="32">
        <v>10</v>
      </c>
      <c r="D53" t="s">
        <v>111</v>
      </c>
      <c r="E53" t="s">
        <v>232</v>
      </c>
      <c r="F53" t="s">
        <v>112</v>
      </c>
      <c r="G53" t="s">
        <v>113</v>
      </c>
      <c r="H53" s="31">
        <v>9</v>
      </c>
      <c r="I53">
        <f>IF(ISERROR(VLOOKUP($A53,データ貼付けシート!$C$3:$G$66,4,FALSE)),0,VLOOKUP($A53,データ貼付けシート!$C$3:$G$66,4,FALSE))</f>
        <v>9</v>
      </c>
      <c r="J53">
        <f>IF(ISERROR(VLOOKUP($A53,データ貼付けシート!$C$3:$G$66,5,FALSE)),0,VLOOKUP($A53,データ貼付けシート!$C$3:$G$66,5,FALSE))</f>
        <v>1</v>
      </c>
    </row>
    <row r="54" spans="1:10" x14ac:dyDescent="0.45">
      <c r="A54">
        <v>4390200147</v>
      </c>
      <c r="C54" s="32">
        <v>11</v>
      </c>
      <c r="D54" t="s">
        <v>114</v>
      </c>
      <c r="E54" t="s">
        <v>233</v>
      </c>
      <c r="F54" t="s">
        <v>174</v>
      </c>
      <c r="G54" t="s">
        <v>105</v>
      </c>
      <c r="H54" s="31">
        <v>9</v>
      </c>
      <c r="I54">
        <f>IF(ISERROR(VLOOKUP($A54,データ貼付けシート!$C$3:$G$66,4,FALSE)),0,VLOOKUP($A54,データ貼付けシート!$C$3:$G$66,4,FALSE))</f>
        <v>9</v>
      </c>
      <c r="J54">
        <f>IF(ISERROR(VLOOKUP($A54,データ貼付けシート!$C$3:$G$66,5,FALSE)),0,VLOOKUP($A54,データ貼付けシート!$C$3:$G$66,5,FALSE))</f>
        <v>12</v>
      </c>
    </row>
    <row r="55" spans="1:10" x14ac:dyDescent="0.45">
      <c r="A55">
        <v>4390200204</v>
      </c>
      <c r="C55" s="32">
        <v>12</v>
      </c>
      <c r="D55" t="s">
        <v>115</v>
      </c>
      <c r="E55" t="s">
        <v>234</v>
      </c>
      <c r="F55" t="s">
        <v>175</v>
      </c>
      <c r="G55" t="s">
        <v>67</v>
      </c>
      <c r="H55" s="31">
        <v>9</v>
      </c>
      <c r="I55">
        <f>IF(ISERROR(VLOOKUP($A55,データ貼付けシート!$C$3:$G$66,4,FALSE)),0,VLOOKUP($A55,データ貼付けシート!$C$3:$G$66,4,FALSE))</f>
        <v>9</v>
      </c>
      <c r="J55">
        <f>IF(ISERROR(VLOOKUP($A55,データ貼付けシート!$C$3:$G$66,5,FALSE)),0,VLOOKUP($A55,データ貼付けシート!$C$3:$G$66,5,FALSE))</f>
        <v>10</v>
      </c>
    </row>
    <row r="56" spans="1:10" x14ac:dyDescent="0.45">
      <c r="A56">
        <v>4390200253</v>
      </c>
      <c r="C56" s="32">
        <v>13</v>
      </c>
      <c r="D56" t="s">
        <v>116</v>
      </c>
      <c r="E56" t="s">
        <v>235</v>
      </c>
      <c r="F56" t="s">
        <v>176</v>
      </c>
      <c r="G56" t="s">
        <v>117</v>
      </c>
      <c r="H56" s="31">
        <v>9</v>
      </c>
      <c r="I56">
        <f>IF(ISERROR(VLOOKUP($A56,データ貼付けシート!$C$3:$G$66,4,FALSE)),0,VLOOKUP($A56,データ貼付けシート!$C$3:$G$66,4,FALSE))</f>
        <v>9</v>
      </c>
      <c r="J56">
        <f>IF(ISERROR(VLOOKUP($A56,データ貼付けシート!$C$3:$G$66,5,FALSE)),0,VLOOKUP($A56,データ貼付けシート!$C$3:$G$66,5,FALSE))</f>
        <v>6</v>
      </c>
    </row>
    <row r="57" spans="1:10" x14ac:dyDescent="0.45">
      <c r="A57">
        <v>4390200238</v>
      </c>
      <c r="C57" s="32">
        <v>14</v>
      </c>
      <c r="D57" t="s">
        <v>177</v>
      </c>
      <c r="E57" t="s">
        <v>236</v>
      </c>
      <c r="F57" t="s">
        <v>178</v>
      </c>
      <c r="G57" t="s">
        <v>118</v>
      </c>
      <c r="H57" s="31">
        <v>9</v>
      </c>
      <c r="I57">
        <f>IF(ISERROR(VLOOKUP($A57,データ貼付けシート!$C$3:$G$66,4,FALSE)),0,VLOOKUP($A57,データ貼付けシート!$C$3:$G$66,4,FALSE))</f>
        <v>9</v>
      </c>
      <c r="J57">
        <f>IF(ISERROR(VLOOKUP($A57,データ貼付けシート!$C$3:$G$66,5,FALSE)),0,VLOOKUP($A57,データ貼付けシート!$C$3:$G$66,5,FALSE))</f>
        <v>10</v>
      </c>
    </row>
    <row r="58" spans="1:10" x14ac:dyDescent="0.45">
      <c r="A58">
        <v>4390200246</v>
      </c>
      <c r="C58" s="32">
        <v>15</v>
      </c>
      <c r="D58" t="s">
        <v>119</v>
      </c>
      <c r="E58" t="s">
        <v>237</v>
      </c>
      <c r="F58" t="s">
        <v>179</v>
      </c>
      <c r="G58" t="s">
        <v>120</v>
      </c>
      <c r="H58" s="31">
        <v>9</v>
      </c>
      <c r="I58">
        <f>IF(ISERROR(VLOOKUP($A58,データ貼付けシート!$C$3:$G$66,4,FALSE)),0,VLOOKUP($A58,データ貼付けシート!$C$3:$G$66,4,FALSE))</f>
        <v>9</v>
      </c>
      <c r="J58">
        <f>IF(ISERROR(VLOOKUP($A58,データ貼付けシート!$C$3:$G$66,5,FALSE)),0,VLOOKUP($A58,データ貼付けシート!$C$3:$G$66,5,FALSE))</f>
        <v>6</v>
      </c>
    </row>
    <row r="59" spans="1:10" x14ac:dyDescent="0.45">
      <c r="A59">
        <v>4390200220</v>
      </c>
      <c r="C59" s="32">
        <v>16</v>
      </c>
      <c r="D59" t="s">
        <v>121</v>
      </c>
      <c r="E59" t="s">
        <v>238</v>
      </c>
      <c r="F59" t="s">
        <v>180</v>
      </c>
      <c r="G59" t="s">
        <v>122</v>
      </c>
      <c r="H59" s="31">
        <v>9</v>
      </c>
      <c r="I59">
        <f>IF(ISERROR(VLOOKUP($A59,データ貼付けシート!$C$3:$G$66,4,FALSE)),0,VLOOKUP($A59,データ貼付けシート!$C$3:$G$66,4,FALSE))</f>
        <v>9</v>
      </c>
      <c r="J59">
        <f>IF(ISERROR(VLOOKUP($A59,データ貼付けシート!$C$3:$G$66,5,FALSE)),0,VLOOKUP($A59,データ貼付けシート!$C$3:$G$66,5,FALSE))</f>
        <v>3</v>
      </c>
    </row>
    <row r="60" spans="1:10" x14ac:dyDescent="0.45">
      <c r="A60">
        <v>4390200592</v>
      </c>
      <c r="C60" s="32">
        <v>17</v>
      </c>
      <c r="D60" t="s">
        <v>123</v>
      </c>
      <c r="E60" t="s">
        <v>239</v>
      </c>
      <c r="F60" t="s">
        <v>181</v>
      </c>
      <c r="G60" t="s">
        <v>124</v>
      </c>
      <c r="H60" s="31">
        <v>9</v>
      </c>
      <c r="I60">
        <f>IF(ISERROR(VLOOKUP($A60,データ貼付けシート!$C$3:$G$66,4,FALSE)),0,VLOOKUP($A60,データ貼付けシート!$C$3:$G$66,4,FALSE))</f>
        <v>8</v>
      </c>
      <c r="J60">
        <f>IF(ISERROR(VLOOKUP($A60,データ貼付けシート!$C$3:$G$66,5,FALSE)),0,VLOOKUP($A60,データ貼付けシート!$C$3:$G$66,5,FALSE))</f>
        <v>0</v>
      </c>
    </row>
    <row r="61" spans="1:10" x14ac:dyDescent="0.45">
      <c r="A61">
        <v>4390200410</v>
      </c>
      <c r="C61" s="32">
        <v>18</v>
      </c>
      <c r="D61" t="s">
        <v>125</v>
      </c>
      <c r="E61" t="s">
        <v>126</v>
      </c>
      <c r="F61" t="s">
        <v>182</v>
      </c>
      <c r="G61" t="s">
        <v>124</v>
      </c>
      <c r="H61" s="31">
        <v>9</v>
      </c>
      <c r="I61">
        <f>IF(ISERROR(VLOOKUP($A61,データ貼付けシート!$C$3:$G$66,4,FALSE)),0,VLOOKUP($A61,データ貼付けシート!$C$3:$G$66,4,FALSE))</f>
        <v>9</v>
      </c>
      <c r="J61">
        <f>IF(ISERROR(VLOOKUP($A61,データ貼付けシート!$C$3:$G$66,5,FALSE)),0,VLOOKUP($A61,データ貼付けシート!$C$3:$G$66,5,FALSE))</f>
        <v>3</v>
      </c>
    </row>
    <row r="62" spans="1:10" x14ac:dyDescent="0.45">
      <c r="A62">
        <v>4390200519</v>
      </c>
      <c r="C62" s="32">
        <v>19</v>
      </c>
      <c r="D62" t="s">
        <v>261</v>
      </c>
      <c r="E62" t="s">
        <v>262</v>
      </c>
      <c r="F62" t="s">
        <v>263</v>
      </c>
      <c r="G62" t="s">
        <v>264</v>
      </c>
      <c r="H62" s="31">
        <v>9</v>
      </c>
      <c r="I62">
        <f>IF(ISERROR(VLOOKUP($A62,データ貼付けシート!$C$3:$G$66,4,FALSE)),0,VLOOKUP($A62,データ貼付けシート!$C$3:$G$66,4,FALSE))</f>
        <v>9</v>
      </c>
      <c r="J62">
        <f>IF(ISERROR(VLOOKUP($A62,データ貼付けシート!$C$3:$G$66,5,FALSE)),0,VLOOKUP($A62,データ貼付けシート!$C$3:$G$66,5,FALSE))</f>
        <v>4</v>
      </c>
    </row>
    <row r="63" spans="1:10" x14ac:dyDescent="0.45">
      <c r="C63" s="30" t="s">
        <v>127</v>
      </c>
      <c r="H63" s="31"/>
    </row>
    <row r="64" spans="1:10" x14ac:dyDescent="0.45">
      <c r="C64" s="30" t="s">
        <v>183</v>
      </c>
      <c r="H64" s="31"/>
    </row>
    <row r="65" spans="1:9" x14ac:dyDescent="0.45">
      <c r="A65">
        <v>4390200022</v>
      </c>
      <c r="C65" s="32">
        <v>1</v>
      </c>
      <c r="D65" t="s">
        <v>184</v>
      </c>
      <c r="E65" t="s">
        <v>240</v>
      </c>
      <c r="F65" t="s">
        <v>128</v>
      </c>
      <c r="G65" t="s">
        <v>129</v>
      </c>
      <c r="H65" s="31" t="s">
        <v>271</v>
      </c>
      <c r="I65">
        <f>IF(ISERROR(VLOOKUP($A65,データ貼付けシート!$C$3:$G$66,3,FALSE)),0,VLOOKUP($A65,データ貼付けシート!$C$3:$G$66,3,FALSE))</f>
        <v>29</v>
      </c>
    </row>
    <row r="66" spans="1:9" x14ac:dyDescent="0.45">
      <c r="A66">
        <v>4390200048</v>
      </c>
      <c r="C66" s="32">
        <v>2</v>
      </c>
      <c r="D66" t="s">
        <v>130</v>
      </c>
      <c r="E66" t="s">
        <v>241</v>
      </c>
      <c r="F66" t="s">
        <v>131</v>
      </c>
      <c r="G66" t="s">
        <v>132</v>
      </c>
      <c r="H66" s="31" t="s">
        <v>272</v>
      </c>
      <c r="I66">
        <f>IF(ISERROR(VLOOKUP($A66,データ貼付けシート!$C$3:$G$66,3,FALSE)),0,VLOOKUP($A66,データ貼付けシート!$C$3:$G$66,3,FALSE))</f>
        <v>25</v>
      </c>
    </row>
    <row r="67" spans="1:9" x14ac:dyDescent="0.45">
      <c r="A67">
        <v>4390200527</v>
      </c>
      <c r="C67" s="32">
        <v>3</v>
      </c>
      <c r="D67" t="s">
        <v>133</v>
      </c>
      <c r="E67" t="s">
        <v>242</v>
      </c>
      <c r="F67" t="s">
        <v>134</v>
      </c>
      <c r="G67" t="s">
        <v>280</v>
      </c>
      <c r="H67" s="31" t="s">
        <v>273</v>
      </c>
      <c r="I67">
        <f>IF(ISERROR(VLOOKUP($A67,データ貼付けシート!$C$3:$G$66,3,FALSE)),0,VLOOKUP($A67,データ貼付けシート!$C$3:$G$66,3,FALSE))</f>
        <v>18</v>
      </c>
    </row>
    <row r="68" spans="1:9" x14ac:dyDescent="0.45">
      <c r="A68">
        <v>4390200071</v>
      </c>
      <c r="C68" s="32">
        <v>4</v>
      </c>
      <c r="D68" t="s">
        <v>135</v>
      </c>
      <c r="E68" t="s">
        <v>136</v>
      </c>
      <c r="F68" t="s">
        <v>137</v>
      </c>
      <c r="G68" t="s">
        <v>48</v>
      </c>
      <c r="H68" s="31" t="s">
        <v>271</v>
      </c>
      <c r="I68">
        <f>IF(ISERROR(VLOOKUP($A68,データ貼付けシート!$C$3:$G$66,3,FALSE)),0,VLOOKUP($A68,データ貼付けシート!$C$3:$G$66,3,FALSE))</f>
        <v>27</v>
      </c>
    </row>
    <row r="69" spans="1:9" x14ac:dyDescent="0.45">
      <c r="A69">
        <v>4390200105</v>
      </c>
      <c r="C69" s="32">
        <v>5</v>
      </c>
      <c r="D69" t="s">
        <v>185</v>
      </c>
      <c r="E69" t="s">
        <v>243</v>
      </c>
      <c r="F69" t="s">
        <v>138</v>
      </c>
      <c r="G69" t="s">
        <v>139</v>
      </c>
      <c r="H69" s="31" t="s">
        <v>274</v>
      </c>
      <c r="I69">
        <f>IF(ISERROR(VLOOKUP($A69,データ貼付けシート!$C$3:$G$66,3,FALSE)),0,VLOOKUP($A69,データ貼付けシート!$C$3:$G$66,3,FALSE))</f>
        <v>28</v>
      </c>
    </row>
    <row r="70" spans="1:9" x14ac:dyDescent="0.45">
      <c r="A70">
        <v>4390200113</v>
      </c>
      <c r="C70" s="32">
        <v>6</v>
      </c>
      <c r="D70" t="s">
        <v>140</v>
      </c>
      <c r="E70" t="s">
        <v>244</v>
      </c>
      <c r="F70" t="s">
        <v>141</v>
      </c>
      <c r="G70" t="s">
        <v>67</v>
      </c>
      <c r="H70" s="31" t="s">
        <v>275</v>
      </c>
      <c r="I70">
        <f>IF(ISERROR(VLOOKUP($A70,データ貼付けシート!$C$3:$G$66,3,FALSE)),0,VLOOKUP($A70,データ貼付けシート!$C$3:$G$66,3,FALSE))</f>
        <v>29</v>
      </c>
    </row>
    <row r="71" spans="1:9" x14ac:dyDescent="0.45">
      <c r="A71">
        <v>4390200121</v>
      </c>
      <c r="C71" s="32">
        <v>7</v>
      </c>
      <c r="D71" t="s">
        <v>142</v>
      </c>
      <c r="E71" t="s">
        <v>245</v>
      </c>
      <c r="F71" t="s">
        <v>143</v>
      </c>
      <c r="G71" t="s">
        <v>103</v>
      </c>
      <c r="H71" s="31" t="s">
        <v>275</v>
      </c>
      <c r="I71">
        <f>IF(ISERROR(VLOOKUP($A71,データ貼付けシート!$C$3:$G$66,3,FALSE)),0,VLOOKUP($A71,データ貼付けシート!$C$3:$G$66,3,FALSE))</f>
        <v>29</v>
      </c>
    </row>
    <row r="72" spans="1:9" x14ac:dyDescent="0.45">
      <c r="A72">
        <v>4390200485</v>
      </c>
      <c r="C72" s="32">
        <v>8</v>
      </c>
      <c r="D72" t="s">
        <v>144</v>
      </c>
      <c r="E72" t="s">
        <v>246</v>
      </c>
      <c r="F72" t="s">
        <v>145</v>
      </c>
      <c r="G72" t="s">
        <v>186</v>
      </c>
      <c r="H72" s="31" t="s">
        <v>276</v>
      </c>
      <c r="I72">
        <f>IF(ISERROR(VLOOKUP($A72,データ貼付けシート!$C$3:$G$66,3,FALSE)),0,VLOOKUP($A72,データ貼付けシート!$C$3:$G$66,3,FALSE))</f>
        <v>0</v>
      </c>
    </row>
    <row r="73" spans="1:9" x14ac:dyDescent="0.45">
      <c r="A73">
        <v>4390200493</v>
      </c>
      <c r="C73" s="32">
        <v>9</v>
      </c>
      <c r="D73" t="s">
        <v>146</v>
      </c>
      <c r="E73" t="s">
        <v>147</v>
      </c>
      <c r="F73" t="s">
        <v>187</v>
      </c>
      <c r="G73" t="s">
        <v>139</v>
      </c>
      <c r="H73" s="31" t="s">
        <v>277</v>
      </c>
      <c r="I73">
        <f>IF(ISERROR(VLOOKUP($A73,データ貼付けシート!$C$3:$G$66,3,FALSE)),0,VLOOKUP($A73,データ貼付けシート!$C$3:$G$66,3,FALSE))</f>
        <v>28</v>
      </c>
    </row>
    <row r="74" spans="1:9" x14ac:dyDescent="0.45">
      <c r="C74" s="30" t="s">
        <v>148</v>
      </c>
      <c r="H74" s="31"/>
    </row>
    <row r="75" spans="1:9" x14ac:dyDescent="0.45">
      <c r="C75" s="30" t="s">
        <v>188</v>
      </c>
      <c r="H75" s="31"/>
    </row>
    <row r="76" spans="1:9" x14ac:dyDescent="0.45">
      <c r="A76">
        <v>4390200295</v>
      </c>
      <c r="C76" s="32">
        <v>1</v>
      </c>
      <c r="D76" t="s">
        <v>149</v>
      </c>
      <c r="E76" t="s">
        <v>247</v>
      </c>
      <c r="F76" t="s">
        <v>189</v>
      </c>
      <c r="G76" t="s">
        <v>99</v>
      </c>
      <c r="H76" s="31" t="s">
        <v>278</v>
      </c>
      <c r="I76">
        <f>IF(ISERROR(VLOOKUP($A76,データ貼付けシート!$C$3:$G$66,3,FALSE)),0,VLOOKUP($A76,データ貼付けシート!$C$3:$G$66,3,FALSE))</f>
        <v>22</v>
      </c>
    </row>
    <row r="77" spans="1:9" x14ac:dyDescent="0.45">
      <c r="A77">
        <v>4390200501</v>
      </c>
      <c r="C77" s="33">
        <v>2</v>
      </c>
      <c r="D77" s="34" t="s">
        <v>150</v>
      </c>
      <c r="E77" s="34" t="s">
        <v>248</v>
      </c>
      <c r="F77" s="34" t="s">
        <v>190</v>
      </c>
      <c r="G77" s="34" t="s">
        <v>151</v>
      </c>
      <c r="H77" s="35" t="s">
        <v>279</v>
      </c>
      <c r="I77">
        <f>IF(ISERROR(VLOOKUP($A77,データ貼付けシート!$C$3:$G$66,3,FALSE)),0,VLOOKUP($A77,データ貼付けシート!$C$3:$G$66,3,FALSE))</f>
        <v>22</v>
      </c>
    </row>
  </sheetData>
  <mergeCells count="2">
    <mergeCell ref="K1:L1"/>
    <mergeCell ref="M1:N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介護保険施設名簿</vt:lpstr>
      <vt:lpstr>データ貼付けシート</vt:lpstr>
      <vt:lpstr>DB</vt:lpstr>
      <vt:lpstr>介護保険施設名簿!Print_Area</vt:lpstr>
      <vt:lpstr>サービスの種類</vt:lpstr>
      <vt:lpstr>介護医療院</vt:lpstr>
      <vt:lpstr>介護老人福祉施設</vt:lpstr>
      <vt:lpstr>介護老人保健施設</vt:lpstr>
      <vt:lpstr>小規模多機能型居宅介護</vt:lpstr>
      <vt:lpstr>地域密着型介護老人福祉施設</vt:lpstr>
      <vt:lpstr>地域密着型特定施設入居者生活介護</vt:lpstr>
      <vt:lpstr>特定施設入居者生活介護</vt:lpstr>
      <vt:lpstr>認知症対応型共同生活介護</vt:lpstr>
      <vt:lpstr>複合型サービス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角田　知嘉子</cp:lastModifiedBy>
  <cp:lastPrinted>2024-08-16T00:40:30Z</cp:lastPrinted>
  <dcterms:created xsi:type="dcterms:W3CDTF">2024-07-16T02:35:29Z</dcterms:created>
  <dcterms:modified xsi:type="dcterms:W3CDTF">2025-10-08T00:18:11Z</dcterms:modified>
</cp:coreProperties>
</file>